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2" activeTab="14"/>
  </bookViews>
  <sheets>
    <sheet name="Estado de Situación" sheetId="2" r:id="rId1"/>
    <sheet name="Est. de Rendimiento Fin" sheetId="3" r:id="rId2"/>
    <sheet name="Hoja1" sheetId="11" state="hidden" r:id="rId3"/>
    <sheet name="Hoja2" sheetId="12" state="hidden" r:id="rId4"/>
    <sheet name="Hoja4" sheetId="13" state="hidden" r:id="rId5"/>
    <sheet name="Hoja5" sheetId="14" state="hidden" r:id="rId6"/>
    <sheet name="Hoja6" sheetId="15" state="hidden" r:id="rId7"/>
    <sheet name="Hoja7" sheetId="16" state="hidden" r:id="rId8"/>
    <sheet name="Hoja8" sheetId="17" state="hidden" r:id="rId9"/>
    <sheet name="Hoja9" sheetId="18" state="hidden" r:id="rId10"/>
    <sheet name="Cambio del Patrimonio" sheetId="4" r:id="rId11"/>
    <sheet name="Flujo de Efectivo" sheetId="5" r:id="rId12"/>
    <sheet name="Esatado de los Impo. Pres. Ope." sheetId="19" r:id="rId13"/>
    <sheet name="Estado de los Imp. Pres. Presu." sheetId="20" r:id="rId14"/>
    <sheet name="NOTAS 7 AL 48 " sheetId="8" r:id="rId15"/>
  </sheets>
  <externalReferences>
    <externalReference r:id="rId16"/>
    <externalReference r:id="rId17"/>
  </externalReferences>
  <definedNames>
    <definedName name="_xlnm.Print_Area" localSheetId="14">'NOTAS 7 AL 48 '!$A$1:$J$341</definedName>
    <definedName name="MyExchangeRate">#REF!</definedName>
    <definedName name="OLE_LINK1" localSheetId="14">'NOTAS 7 AL 48 '!$B$4</definedName>
    <definedName name="OLE_LINK3" localSheetId="14">'NOTAS 7 AL 48 '!$B$12</definedName>
    <definedName name="OLE_LINK4" localSheetId="14">'NOTAS 7 AL 48 '!$B$28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2" i="8" l="1"/>
  <c r="E44" i="2"/>
  <c r="B12" i="3"/>
  <c r="B37" i="5"/>
  <c r="C13" i="2"/>
  <c r="F47" i="8"/>
  <c r="F51" i="8"/>
  <c r="B15" i="5"/>
  <c r="F197" i="8"/>
  <c r="F174" i="8"/>
  <c r="B14" i="5"/>
  <c r="F17" i="4" l="1"/>
  <c r="F18" i="4"/>
  <c r="F19" i="4"/>
  <c r="F20" i="4"/>
  <c r="F11" i="4"/>
  <c r="F12" i="4"/>
  <c r="F13" i="4"/>
  <c r="F14" i="4"/>
  <c r="D60" i="5"/>
  <c r="B60" i="5"/>
  <c r="D20" i="5" l="1"/>
  <c r="F138" i="8" l="1"/>
  <c r="F131" i="8"/>
  <c r="C14" i="19"/>
  <c r="C16" i="19" s="1"/>
  <c r="J105" i="8" l="1"/>
  <c r="B44" i="5" l="1"/>
  <c r="I90" i="8" l="1"/>
  <c r="I91" i="8" s="1"/>
  <c r="J88" i="8"/>
  <c r="J79" i="8"/>
  <c r="J81" i="8"/>
  <c r="J82" i="8"/>
  <c r="F121" i="8"/>
  <c r="H121" i="8"/>
  <c r="H107" i="8"/>
  <c r="G107" i="8"/>
  <c r="G87" i="8" s="1"/>
  <c r="G90" i="8" s="1"/>
  <c r="F107" i="8"/>
  <c r="F87" i="8" s="1"/>
  <c r="F90" i="8" s="1"/>
  <c r="J104" i="8"/>
  <c r="J80" i="8" s="1"/>
  <c r="H102" i="8"/>
  <c r="H78" i="8" s="1"/>
  <c r="H84" i="8" s="1"/>
  <c r="G102" i="8"/>
  <c r="G78" i="8" s="1"/>
  <c r="G84" i="8" s="1"/>
  <c r="F102" i="8"/>
  <c r="F78" i="8" s="1"/>
  <c r="F84" i="8" s="1"/>
  <c r="J97" i="8"/>
  <c r="J96" i="8"/>
  <c r="F132" i="8"/>
  <c r="H132" i="8"/>
  <c r="F198" i="8"/>
  <c r="F333" i="8"/>
  <c r="F339" i="8"/>
  <c r="F338" i="8"/>
  <c r="F337" i="8"/>
  <c r="F336" i="8"/>
  <c r="F335" i="8"/>
  <c r="F334" i="8"/>
  <c r="F332" i="8"/>
  <c r="F331" i="8"/>
  <c r="F330" i="8"/>
  <c r="F329" i="8"/>
  <c r="F328" i="8"/>
  <c r="F327" i="8"/>
  <c r="F326" i="8"/>
  <c r="F325" i="8"/>
  <c r="F324" i="8"/>
  <c r="F322" i="8"/>
  <c r="F321" i="8"/>
  <c r="F320" i="8"/>
  <c r="F318" i="8"/>
  <c r="F319" i="8"/>
  <c r="F317" i="8"/>
  <c r="F316" i="8"/>
  <c r="F315" i="8"/>
  <c r="F314" i="8"/>
  <c r="F313" i="8"/>
  <c r="F312" i="8"/>
  <c r="F311" i="8"/>
  <c r="F309" i="8"/>
  <c r="F308" i="8"/>
  <c r="F307" i="8"/>
  <c r="F306" i="8"/>
  <c r="F305" i="8"/>
  <c r="F304" i="8"/>
  <c r="F303" i="8"/>
  <c r="F302" i="8"/>
  <c r="H341" i="8"/>
  <c r="F233" i="8"/>
  <c r="F287" i="8"/>
  <c r="F286" i="8"/>
  <c r="F285" i="8"/>
  <c r="F284" i="8"/>
  <c r="F283" i="8"/>
  <c r="F281" i="8"/>
  <c r="F280" i="8"/>
  <c r="F282" i="8"/>
  <c r="F279" i="8"/>
  <c r="F278" i="8"/>
  <c r="F277" i="8"/>
  <c r="F275" i="8"/>
  <c r="F276" i="8"/>
  <c r="F274" i="8"/>
  <c r="F273" i="8"/>
  <c r="F272" i="8"/>
  <c r="F271" i="8"/>
  <c r="F269" i="8"/>
  <c r="F268" i="8"/>
  <c r="F266" i="8"/>
  <c r="F265" i="8"/>
  <c r="F263" i="8"/>
  <c r="F262" i="8"/>
  <c r="F261" i="8"/>
  <c r="F260" i="8"/>
  <c r="F259" i="8"/>
  <c r="F258" i="8"/>
  <c r="F257" i="8"/>
  <c r="F256" i="8"/>
  <c r="F255" i="8"/>
  <c r="F253" i="8"/>
  <c r="F254" i="8"/>
  <c r="F251" i="8"/>
  <c r="F252" i="8"/>
  <c r="F250" i="8"/>
  <c r="F249" i="8"/>
  <c r="F248" i="8"/>
  <c r="F247" i="8"/>
  <c r="F246" i="8"/>
  <c r="F245" i="8"/>
  <c r="F244" i="8"/>
  <c r="F243" i="8"/>
  <c r="F242" i="8"/>
  <c r="F241" i="8"/>
  <c r="F210" i="8"/>
  <c r="F209" i="8"/>
  <c r="H164" i="8"/>
  <c r="F219" i="8"/>
  <c r="F218" i="8"/>
  <c r="F217" i="8"/>
  <c r="F216" i="8"/>
  <c r="F215" i="8"/>
  <c r="F214" i="8"/>
  <c r="F213" i="8"/>
  <c r="F212" i="8"/>
  <c r="F211" i="8"/>
  <c r="F208" i="8"/>
  <c r="F207" i="8"/>
  <c r="F205" i="8"/>
  <c r="F91" i="8" l="1"/>
  <c r="G91" i="8"/>
  <c r="F289" i="8"/>
  <c r="B19" i="3"/>
  <c r="F296" i="8"/>
  <c r="F297" i="8" s="1"/>
  <c r="J107" i="8"/>
  <c r="H108" i="8"/>
  <c r="H87" i="8"/>
  <c r="H90" i="8" s="1"/>
  <c r="H91" i="8" s="1"/>
  <c r="G108" i="8"/>
  <c r="J102" i="8"/>
  <c r="F108" i="8"/>
  <c r="F44" i="8"/>
  <c r="F57" i="8"/>
  <c r="F55" i="8"/>
  <c r="F52" i="8"/>
  <c r="F45" i="8"/>
  <c r="F50" i="8"/>
  <c r="F54" i="8"/>
  <c r="F56" i="8"/>
  <c r="J108" i="8" l="1"/>
  <c r="J87" i="8"/>
  <c r="J90" i="8" s="1"/>
  <c r="J83" i="8"/>
  <c r="J78" i="8"/>
  <c r="J84" i="8" s="1"/>
  <c r="H198" i="8"/>
  <c r="H187" i="8"/>
  <c r="J91" i="8" l="1"/>
  <c r="C19" i="2" s="1"/>
  <c r="F341" i="8"/>
  <c r="B27" i="5" s="1"/>
  <c r="B22" i="5" l="1"/>
  <c r="H297" i="8"/>
  <c r="D19" i="3" s="1"/>
  <c r="D14" i="5"/>
  <c r="E43" i="2"/>
  <c r="C44" i="2" s="1"/>
  <c r="C42" i="2"/>
  <c r="E42" i="2"/>
  <c r="H139" i="8"/>
  <c r="E26" i="2" s="1"/>
  <c r="F11" i="8"/>
  <c r="H11" i="8"/>
  <c r="E9" i="2" s="1"/>
  <c r="F59" i="8"/>
  <c r="H59" i="8"/>
  <c r="E13" i="2" s="1"/>
  <c r="F149" i="8"/>
  <c r="C27" i="2" s="1"/>
  <c r="H149" i="8"/>
  <c r="E27" i="2" s="1"/>
  <c r="B10" i="3"/>
  <c r="H174" i="8"/>
  <c r="D10" i="3" s="1"/>
  <c r="D11" i="3"/>
  <c r="B20" i="3"/>
  <c r="D27" i="5"/>
  <c r="I341" i="8"/>
  <c r="F234" i="8"/>
  <c r="B20" i="5" s="1"/>
  <c r="H234" i="8"/>
  <c r="D17" i="3" s="1"/>
  <c r="D12" i="3"/>
  <c r="F223" i="8"/>
  <c r="B21" i="5" s="1"/>
  <c r="H223" i="8"/>
  <c r="D16" i="3" s="1"/>
  <c r="B18" i="3"/>
  <c r="H289" i="8"/>
  <c r="D18" i="3" s="1"/>
  <c r="B16" i="3" l="1"/>
  <c r="B19" i="5"/>
  <c r="D20" i="3"/>
  <c r="D19" i="5"/>
  <c r="D24" i="5"/>
  <c r="B17" i="3"/>
  <c r="B24" i="5"/>
  <c r="D15" i="5"/>
  <c r="F187" i="8"/>
  <c r="B11" i="3" s="1"/>
  <c r="B13" i="3" l="1"/>
  <c r="B28" i="5"/>
  <c r="B61" i="5" s="1"/>
  <c r="D28" i="5"/>
  <c r="D21" i="3" l="1"/>
  <c r="B21" i="3"/>
  <c r="B22" i="3" l="1"/>
  <c r="F139" i="8"/>
  <c r="C26" i="2" s="1"/>
  <c r="E21" i="4" l="1"/>
  <c r="F21" i="4" s="1"/>
  <c r="F161" i="8"/>
  <c r="C25" i="2"/>
  <c r="E25" i="2"/>
  <c r="C43" i="2" l="1"/>
  <c r="C46" i="2" s="1"/>
  <c r="F164" i="8"/>
  <c r="D44" i="5"/>
  <c r="D61" i="5" s="1"/>
  <c r="E37" i="2"/>
  <c r="C37" i="2"/>
  <c r="E28" i="2"/>
  <c r="C28" i="2"/>
  <c r="E20" i="2"/>
  <c r="E16" i="2"/>
  <c r="C39" i="2" l="1"/>
  <c r="E39" i="2"/>
  <c r="E22" i="2"/>
  <c r="D63" i="5" l="1"/>
  <c r="B62" i="5" s="1"/>
  <c r="B63" i="5" s="1"/>
  <c r="D13" i="3"/>
  <c r="D22" i="3" s="1"/>
  <c r="E15" i="4" s="1"/>
  <c r="F15" i="4" l="1"/>
  <c r="E16" i="4"/>
  <c r="C9" i="2"/>
  <c r="E22" i="4"/>
  <c r="C47" i="2"/>
  <c r="E46" i="2"/>
  <c r="E47" i="2" s="1"/>
  <c r="C16" i="2" l="1"/>
  <c r="B16" i="4"/>
  <c r="B22" i="4" l="1"/>
  <c r="F22" i="4" s="1"/>
  <c r="F16" i="4"/>
  <c r="C20" i="2"/>
  <c r="C22" i="2" s="1"/>
</calcChain>
</file>

<file path=xl/comments1.xml><?xml version="1.0" encoding="utf-8"?>
<comments xmlns="http://schemas.openxmlformats.org/spreadsheetml/2006/main">
  <authors>
    <author>Anyer Perdomo Campusano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Anyer Perdomo Campusano:</t>
        </r>
        <r>
          <rPr>
            <sz val="9"/>
            <color indexed="81"/>
            <rFont val="Tahoma"/>
            <family val="2"/>
          </rPr>
          <t xml:space="preserve">
este monto deberia coincidir con las adiciones del cuadro de propiedad planta y equipo.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Anyer Perdomo Campusano:</t>
        </r>
        <r>
          <rPr>
            <sz val="9"/>
            <color indexed="81"/>
            <rFont val="Tahoma"/>
            <family val="2"/>
          </rPr>
          <t xml:space="preserve">
no se observan obras ni construcciones en proceso en otros estados.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Anyer Perdomo Campusano:</t>
        </r>
        <r>
          <rPr>
            <sz val="9"/>
            <color indexed="81"/>
            <rFont val="Tahoma"/>
            <family val="2"/>
          </rPr>
          <t xml:space="preserve">
aclarar procedencia de estos montos.</t>
        </r>
      </text>
    </comment>
  </commentList>
</comments>
</file>

<file path=xl/sharedStrings.xml><?xml version="1.0" encoding="utf-8"?>
<sst xmlns="http://schemas.openxmlformats.org/spreadsheetml/2006/main" count="566" uniqueCount="406">
  <si>
    <t>Activos</t>
  </si>
  <si>
    <t>Activos corrientes</t>
  </si>
  <si>
    <t>Pagos anticipados (Nota 12)</t>
  </si>
  <si>
    <t>Otros activos corrientes (Nota 13)</t>
  </si>
  <si>
    <t>Total activos corrientes</t>
  </si>
  <si>
    <t>Activos no corrientes</t>
  </si>
  <si>
    <t>Total activos no corrientes</t>
  </si>
  <si>
    <t>Total activos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</si>
  <si>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</si>
  <si>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</si>
  <si>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</si>
  <si>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</si>
  <si>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</si>
  <si>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</si>
  <si>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</si>
  <si>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Intereses minoritarios</t>
  </si>
  <si>
    <t>Estado de Situación Financiera</t>
  </si>
  <si>
    <t xml:space="preserve"> (Valores en RD$)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</si>
  <si>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</si>
  <si>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</si>
  <si>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</si>
  <si>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10)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</si>
  <si>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</si>
  <si>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</si>
  <si>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</si>
  <si>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</si>
  <si>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Estado de Rendimiento Financiero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</si>
  <si>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</si>
  <si>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</si>
  <si>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</si>
  <si>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</si>
  <si>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</si>
  <si>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</si>
  <si>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</si>
  <si>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</si>
  <si>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</si>
  <si>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</si>
  <si>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</si>
  <si>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</si>
  <si>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</si>
  <si>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</si>
  <si>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</si>
  <si>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</si>
  <si>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</si>
  <si>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</si>
  <si>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</si>
  <si>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</si>
  <si>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</si>
  <si>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</si>
  <si>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</si>
  <si>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</si>
  <si>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</si>
  <si>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</si>
  <si>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</si>
  <si>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</si>
  <si>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</si>
  <si>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</si>
  <si>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</si>
  <si>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</si>
  <si>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</si>
  <si>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</si>
  <si>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</si>
  <si>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</si>
  <si>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préstamos, pagarés, hipotecas</t>
  </si>
  <si>
    <t>Cobro por aporte de accionista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</si>
  <si>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</si>
  <si>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</si>
  <si>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</si>
  <si>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</si>
  <si>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</si>
  <si>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</si>
  <si>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</si>
  <si>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</si>
  <si>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</si>
  <si>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</si>
  <si>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</si>
  <si>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</si>
  <si>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</si>
  <si>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</si>
  <si>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</si>
  <si>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</si>
  <si>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</si>
  <si>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</si>
  <si>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</si>
  <si>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</si>
  <si>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</si>
  <si>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</si>
  <si>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</si>
  <si>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</si>
  <si>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</si>
  <si>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</si>
  <si>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</si>
  <si>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</si>
  <si>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</si>
  <si>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</si>
  <si>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Firma del Enc. Administrativo</t>
  </si>
  <si>
    <t>Firma del Contador.</t>
  </si>
  <si>
    <t>Resultado acumulado</t>
  </si>
  <si>
    <t xml:space="preserve">Resultados positivos (ahorro)/negativo (desahorro) </t>
  </si>
  <si>
    <t>Patrimonio Neto</t>
  </si>
  <si>
    <t>Pasivos corrientes</t>
  </si>
  <si>
    <t>_______________________________</t>
  </si>
  <si>
    <t>Firma del Director  o Presidente</t>
  </si>
  <si>
    <t>Firma del Financiero</t>
  </si>
  <si>
    <t>Firma del Contador</t>
  </si>
  <si>
    <t>___________________________</t>
  </si>
  <si>
    <t>________________________________</t>
  </si>
  <si>
    <t>Firma del Director o Presidente</t>
  </si>
  <si>
    <t>Total Activos Netos/Patrimonio mas Pasivos</t>
  </si>
  <si>
    <t>Transferencias</t>
  </si>
  <si>
    <t>Un detalle de la inversión a corto plazo al 31 de diciembre de 20x2 y 20x1, es como sigue:</t>
  </si>
  <si>
    <t xml:space="preserve">                                                                                                        </t>
  </si>
  <si>
    <t>Un detalle de la porción corriente de documento por cobrar al 31 de diciembre de 20x2 y 20x1 es como sigue:</t>
  </si>
  <si>
    <t>Un detalle de las cuentas por cobrar al 31 de diciembre de 20x2 y 20x1 es como sigue:</t>
  </si>
  <si>
    <t>Nota# 12 Pagos anticipados</t>
  </si>
  <si>
    <t>Un detalle de las partidas de otros activos financieros  al 31 de diciembre de 20x2 y 20x1 es como sigue:</t>
  </si>
  <si>
    <t>Terreno</t>
  </si>
  <si>
    <t>Infraestructura</t>
  </si>
  <si>
    <t>Maq. Y Equipos</t>
  </si>
  <si>
    <t>Total</t>
  </si>
  <si>
    <t>X</t>
  </si>
  <si>
    <t>Adiciones</t>
  </si>
  <si>
    <t>Retiros</t>
  </si>
  <si>
    <t>Saldo al final del periodo</t>
  </si>
  <si>
    <t xml:space="preserve">Dep. Acum. al inicio del periodo  </t>
  </si>
  <si>
    <t>Cargo del periodo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</si>
  <si>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</si>
  <si>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</si>
  <si>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</si>
  <si>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</si>
  <si>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</si>
  <si>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</si>
  <si>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</si>
  <si>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 xml:space="preserve">                                                                                                            X                      X   </t>
  </si>
  <si>
    <t xml:space="preserve">                                                                                                            X                      X  </t>
  </si>
  <si>
    <t>Nota #7 Efectivo y equivalentes de efectivo.</t>
  </si>
  <si>
    <t>Const. En Proceso</t>
  </si>
  <si>
    <t>Superávit revaluación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</si>
  <si>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</si>
  <si>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</si>
  <si>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</si>
  <si>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</si>
  <si>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</si>
  <si>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</si>
  <si>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</si>
  <si>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</si>
  <si>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</si>
  <si>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</si>
  <si>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</si>
  <si>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</si>
  <si>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</si>
  <si>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Sueldos                                                                                                 </t>
  </si>
  <si>
    <t xml:space="preserve">Contribuciones a la Tesorería de la Seguridad Social                          </t>
  </si>
  <si>
    <t xml:space="preserve">                                                                                                                 </t>
  </si>
  <si>
    <t>Saldo al 31 de diciembre de 2020</t>
  </si>
  <si>
    <t>Inventarios (Nota 8)</t>
  </si>
  <si>
    <t>Nota # Inversiones a corto plazo</t>
  </si>
  <si>
    <t>Nota # Porción corriente de documentos por cobrar</t>
  </si>
  <si>
    <t>Nota #  Cuentas por cobrar a corto plazo</t>
  </si>
  <si>
    <t>Nota #8 Inventarios</t>
  </si>
  <si>
    <t>Un detalle de los pagos anticipados  al 31 de diciembre de 2020 y 2019 es como sigue:</t>
  </si>
  <si>
    <t xml:space="preserve">Nota#  Otros activos financieros </t>
  </si>
  <si>
    <t>Incentivos y Escalafon</t>
  </si>
  <si>
    <t>Personal Contratado e igualado</t>
  </si>
  <si>
    <t>Suplencias</t>
  </si>
  <si>
    <t>Sueldo Anual No.13</t>
  </si>
  <si>
    <t>Proporcion de vacaciones no disfrutadas</t>
  </si>
  <si>
    <t>Compensacion por horas extraordinarias</t>
  </si>
  <si>
    <t>Prima de transporte</t>
  </si>
  <si>
    <t>Bono por desempeño a servidores de carrera</t>
  </si>
  <si>
    <t>Compensacion por cumplimiento de indicadores</t>
  </si>
  <si>
    <t>Incentivo por labor humanitaria</t>
  </si>
  <si>
    <t>Teléfono local</t>
  </si>
  <si>
    <t>Servicios de Internet y televisión por cable</t>
  </si>
  <si>
    <t>Energía eléctrica</t>
  </si>
  <si>
    <t>Agua</t>
  </si>
  <si>
    <t>Recolección de residuos sólidos</t>
  </si>
  <si>
    <t>Publicidad y Propaganda</t>
  </si>
  <si>
    <t>Alimentos y bebidas para personas</t>
  </si>
  <si>
    <t xml:space="preserve">Alimentos para animales </t>
  </si>
  <si>
    <t>Productos forestales</t>
  </si>
  <si>
    <t>Hilados y telas</t>
  </si>
  <si>
    <t>Acabados y textiles</t>
  </si>
  <si>
    <t>Prendas de vestir</t>
  </si>
  <si>
    <t>Calzados</t>
  </si>
  <si>
    <t>Papel de escritorio</t>
  </si>
  <si>
    <t xml:space="preserve">Productos de papel y cartón </t>
  </si>
  <si>
    <t>Productos de Artes Gráficas</t>
  </si>
  <si>
    <t>Cueros y pieles</t>
  </si>
  <si>
    <t>Llantas y neumáticos</t>
  </si>
  <si>
    <t>Artículos de caucho</t>
  </si>
  <si>
    <t>Artículos de Plásticos</t>
  </si>
  <si>
    <t xml:space="preserve"> Productos de vidrio </t>
  </si>
  <si>
    <t>Productos de porcelana</t>
  </si>
  <si>
    <t xml:space="preserve">Productos ferrosos </t>
  </si>
  <si>
    <t>Productos no ferrosos</t>
  </si>
  <si>
    <t>Estructuras metálicas acabadas</t>
  </si>
  <si>
    <t>Herramientas menores</t>
  </si>
  <si>
    <t>Accesorio de Metal</t>
  </si>
  <si>
    <t>Gasolina</t>
  </si>
  <si>
    <t>Gasoil</t>
  </si>
  <si>
    <t>Kerosén</t>
  </si>
  <si>
    <t>Gas GLP</t>
  </si>
  <si>
    <t>Aceites y Grasas</t>
  </si>
  <si>
    <t>Lubricantes</t>
  </si>
  <si>
    <t xml:space="preserve">Productos químicos de uso personal </t>
  </si>
  <si>
    <t>Otros productos Químicos</t>
  </si>
  <si>
    <t>Pinturas,Lacas,Barnices, Diluyentes…</t>
  </si>
  <si>
    <t>Materiales de limpiezas</t>
  </si>
  <si>
    <t xml:space="preserve">Útiles de escritorio, oficina, informática y de enseñanza </t>
  </si>
  <si>
    <t xml:space="preserve">Útiles menores médico-quirúrgicos </t>
  </si>
  <si>
    <t>Útiles de cocina y comedor</t>
  </si>
  <si>
    <t>Productos eléctricos y a fines</t>
  </si>
  <si>
    <t>Otros productos y accesorios menores</t>
  </si>
  <si>
    <t>Productos y utiles Nip</t>
  </si>
  <si>
    <t>Productos y utiles de defensa y seguridad</t>
  </si>
  <si>
    <t>Bonos para útiles diversos</t>
  </si>
  <si>
    <t>Viáticos dentro del País</t>
  </si>
  <si>
    <t>Viáticos fuera del País</t>
  </si>
  <si>
    <t>Alquileres y rentas de edificios</t>
  </si>
  <si>
    <t xml:space="preserve">Alquiler de equipo de oficina y muebles </t>
  </si>
  <si>
    <t>Alquiler de equipo para computación</t>
  </si>
  <si>
    <t>Otros alquileres</t>
  </si>
  <si>
    <t>Seguros de bienes muebles</t>
  </si>
  <si>
    <t>Seguros de personas</t>
  </si>
  <si>
    <t>Instalaciones eléctricas</t>
  </si>
  <si>
    <t>Mantenimiento y reparación de muebles y equipos de  oficina</t>
  </si>
  <si>
    <t>Mantenimiento y reparación de equipo para computación</t>
  </si>
  <si>
    <t>Mantenimiento y Rep. de equipo de transp, tracción y elevación</t>
  </si>
  <si>
    <t>Servicios de mantenimiento, reparación, desmonte e  instalación</t>
  </si>
  <si>
    <t>Comisiones y gastos bancarios</t>
  </si>
  <si>
    <t>Servicios de capacitación</t>
  </si>
  <si>
    <t>Servicios de alimentación</t>
  </si>
  <si>
    <t>Compensaciones Especiales</t>
  </si>
  <si>
    <t>Piedra, arcilla y arena</t>
  </si>
  <si>
    <t>Insecticidas, fumigantes y otros</t>
  </si>
  <si>
    <t>Productos de cemento</t>
  </si>
  <si>
    <t xml:space="preserve">Pasajes </t>
  </si>
  <si>
    <t>Fletes</t>
  </si>
  <si>
    <t>Alquiler de equipo de comunicación</t>
  </si>
  <si>
    <t>Obras menores en edificaciones</t>
  </si>
  <si>
    <t>Limpieza e higiene</t>
  </si>
  <si>
    <t>Eventos generales</t>
  </si>
  <si>
    <t>Festividades</t>
  </si>
  <si>
    <t>Otros servicios tecnicos profesionales</t>
  </si>
  <si>
    <t>Servicios funerarios y gastos conexos</t>
  </si>
  <si>
    <t>Acabados textiles</t>
  </si>
  <si>
    <t>Productos de papel y carton</t>
  </si>
  <si>
    <t>Productos de artes graficas</t>
  </si>
  <si>
    <t>Llantas y neumaticos</t>
  </si>
  <si>
    <t>Productos de caucho</t>
  </si>
  <si>
    <t>Articulos de plastico</t>
  </si>
  <si>
    <t>Otros productos quimicos</t>
  </si>
  <si>
    <t>Material de limpieza</t>
  </si>
  <si>
    <t>Utiles de escritorio, oficina e informatica</t>
  </si>
  <si>
    <t>Alimentos para animales</t>
  </si>
  <si>
    <t>Otros repuestos y accesorios menores</t>
  </si>
  <si>
    <t>Productos electricos y afines</t>
  </si>
  <si>
    <t>Especies timbradas</t>
  </si>
  <si>
    <t>Productos metalicos</t>
  </si>
  <si>
    <t>Propiedad, planta y equipo neto (Nota 9)</t>
  </si>
  <si>
    <t>Total Ingresos Captación Directa</t>
  </si>
  <si>
    <t>Total Otros ingresos</t>
  </si>
  <si>
    <t>Total Otros Gastos</t>
  </si>
  <si>
    <t xml:space="preserve">Cuenta  Banreservas   Operativa (010-500042-6)                                        </t>
  </si>
  <si>
    <t xml:space="preserve">Otros Aportes </t>
  </si>
  <si>
    <t xml:space="preserve">            </t>
  </si>
  <si>
    <t xml:space="preserve">Cuenta Tesoro Cuota  (No.010-0100102001)                                     </t>
  </si>
  <si>
    <t xml:space="preserve">Cuenta Tesoro Disponibilidad (No.01-00102000) </t>
  </si>
  <si>
    <t>Total a Efectivo Equivalente a Efectivo.</t>
  </si>
  <si>
    <t xml:space="preserve">Cuenta Tesoro Captación Directa (No.999027000)                                         </t>
  </si>
  <si>
    <t xml:space="preserve">Cuenta Tesoro Emiratos  (CI 7297 Prevención a Des. Y Temp. Ciclonica)                    </t>
  </si>
  <si>
    <t>respectivamente,  es como sigue:</t>
  </si>
  <si>
    <t>Total Retenciones por Pagar</t>
  </si>
  <si>
    <t>Otros(</t>
  </si>
  <si>
    <t>Ajuste a la  depreación</t>
  </si>
  <si>
    <t xml:space="preserve">Total Otros Pagos por Trasnferencias </t>
  </si>
  <si>
    <t>Otros Pagos por  Transferencias</t>
  </si>
  <si>
    <t>Depreciación</t>
  </si>
  <si>
    <t xml:space="preserve">Capital </t>
  </si>
  <si>
    <t>Firma del Director  o  Presidente</t>
  </si>
  <si>
    <t>Defensa Civil</t>
  </si>
  <si>
    <t>Las notas en las páginas 7 a 14 son parte integral de estos Estados Financieros.</t>
  </si>
  <si>
    <t xml:space="preserve">Ajuste a Resultados Acumulados </t>
  </si>
  <si>
    <t xml:space="preserve"> composición del Capital de la Institución es como sigue:</t>
  </si>
  <si>
    <t xml:space="preserve">Sub-Total Transferencia del Gobierno </t>
  </si>
  <si>
    <t xml:space="preserve">Retenciones  del 5%  Adquisición de Bienes y Servicios </t>
  </si>
  <si>
    <t xml:space="preserve"> </t>
  </si>
  <si>
    <t xml:space="preserve">Sueldos y Jornales por Pagar </t>
  </si>
  <si>
    <t>Proveedores Directos interno a Pagar a Corto Plazo</t>
  </si>
  <si>
    <t>Otros Proveedores Directos a Pagar a Corto Plazo por Clasificar</t>
  </si>
  <si>
    <t>Contribuciones Por Pagar</t>
  </si>
  <si>
    <t xml:space="preserve">producto de Transferencias  para Gastos de Capital del Gobierno Dominicano, Donaciones en efectivo de Gobiernos Extranjeros para gastos de Capital </t>
  </si>
  <si>
    <t xml:space="preserve"> ajustes al patrimonio por depreciaciones dejadas de registrar,  por Incorporación de Activos, Ajustes a las Depreciaciones, por lo que  la </t>
  </si>
  <si>
    <t>Otros Gastos de Personal  a Pagar a Corto Plazo por Especificar (Ayuda Humanitaria)</t>
  </si>
  <si>
    <t>Total Benficios a Empleados a Corto Plazo</t>
  </si>
  <si>
    <t>Transferencias Corrientes de la Administración Central</t>
  </si>
  <si>
    <t>Transferencias Corrientes de la Administración Central (Extra-Presupuestarias Sigef )</t>
  </si>
  <si>
    <t>Transferencias Corrientes de la Administración Central (Del Aporte realizado por los  Emiratos Arabes )</t>
  </si>
  <si>
    <t>Resultado Acumulado</t>
  </si>
  <si>
    <t>Transferencias Corrientes de la Administración Central  ( Directo a Cuenta Operativa )</t>
  </si>
  <si>
    <t xml:space="preserve">Prestación de  Servicos </t>
  </si>
  <si>
    <t xml:space="preserve">Un detalle de Otros Ingresos  son producto, de Aportes directos a Provincias, Créditos Tesorería por Subsidios por  Maternidad y  Enfermedad Común,   </t>
  </si>
  <si>
    <t xml:space="preserve">Aportes a  las Provincias </t>
  </si>
  <si>
    <t xml:space="preserve">Pagos a otras entidades  (Transferencias) </t>
  </si>
  <si>
    <t xml:space="preserve">Otras Trasferencias Corrientes </t>
  </si>
  <si>
    <t xml:space="preserve"> Devolucion de Subsidios Mat. Y  Enfermedad Común</t>
  </si>
  <si>
    <t>Prestaciones Laborales</t>
  </si>
  <si>
    <t>Prestaciones laborales por desvinculacion</t>
  </si>
  <si>
    <t>Compensacion por servicios de seguridad</t>
  </si>
  <si>
    <t>Alquiler de equipos electricos</t>
  </si>
  <si>
    <t>Otros servicios de mantenimiento</t>
  </si>
  <si>
    <t>Servicios de catering</t>
  </si>
  <si>
    <t>Productos medicinales para uso veterinario</t>
  </si>
  <si>
    <t>Productos de yeso</t>
  </si>
  <si>
    <t>Mob. y equipos de ofic. Y otros</t>
  </si>
  <si>
    <t xml:space="preserve">Equipos Transporte </t>
  </si>
  <si>
    <t>Prop. planta y equipos neto (2021)</t>
  </si>
  <si>
    <t>Un detalle de las partidas de inventario al 31 de diciembre de 2021 y 2020 es como sigue:</t>
  </si>
  <si>
    <t xml:space="preserve">Un detalle de los ingresos por Transacciones con Contraprestaciones al  31 de diciembre  de 2021 y 2020, producto de  la Captación Directa por la Prestación </t>
  </si>
  <si>
    <t>Personal de carácter temporal</t>
  </si>
  <si>
    <t>Sueldo temporal a personal fijo en cargos de carrera</t>
  </si>
  <si>
    <t>Libros, revistas y periódicos</t>
  </si>
  <si>
    <t>Productos medicinales para uso humano</t>
  </si>
  <si>
    <t>Útiles y materiales escolares y de enseñanzas</t>
  </si>
  <si>
    <t>Respuestos</t>
  </si>
  <si>
    <t>Un detalle de los gastos de depreciación y amortización al  31 de diciembre de 2021 y 2020 es como sigue:</t>
  </si>
  <si>
    <t>Pago deuda administrativa</t>
  </si>
  <si>
    <t>Licencias informaticas</t>
  </si>
  <si>
    <t>Otras contrataciones de servicios</t>
  </si>
  <si>
    <t>Servicios de Ingeniería, arquitectura, investigaciones y análisis de factibilidad</t>
  </si>
  <si>
    <t>2021</t>
  </si>
  <si>
    <t>2020</t>
  </si>
  <si>
    <t>Del ejercicio terminado al 31 de diciembre de 2021 y 2020</t>
  </si>
  <si>
    <t>Nota #9 Propiedad planta y equipo</t>
  </si>
  <si>
    <t>Un detalle de la cuenta subvenciones y otros pagos por transferencia al 31 de diciembre de 2021 y 2020,  corresponde a transferencia realizada en el 2021 para cubrir gastos de las oficinas provinciales de la institucion y el 2020 para el pago de membrecia a el Centro de Coordinación para la Prevención de los Desastres en América Central y República Dominicana (CEPREDENAC) es un organismo regional de carácter intergubernamental, perteneciente al Sistema de la Integración Centroamericana SICA como Secretaría Especializada.</t>
  </si>
  <si>
    <t xml:space="preserve">Un detalle de los ingresos por transferencias al 31 de diciembre de 2021 y 2020, producto de Transferencias otorgadas por el Gobierno Dominicano,  </t>
  </si>
  <si>
    <t>Un detalle de las retenciones y acumulaciones por pagar, corresponden al 5%  de la Adquisición de Bienes y Servicios al 31 de diciembre de 2021 y 2020 es como sigue:</t>
  </si>
  <si>
    <t>Un detalle del efectivo y equivalente de efectivo al 31 de diciembre de 2021 y 2020 es como sigue:</t>
  </si>
  <si>
    <t>Un detalle de las propiedades plantas y equipos al 2021, 2020 de la Defensa Civil es como sigue:</t>
  </si>
  <si>
    <t>Descripción</t>
  </si>
  <si>
    <t>Prop. planta y equipos neto (2020)</t>
  </si>
  <si>
    <t>Saldo Inicial (2021)</t>
  </si>
  <si>
    <t>Saldo  Inicial  (2020)</t>
  </si>
  <si>
    <t>Al 31 de diciembre de 2021 y 2020 la Defensa Civil  mantenía 470 y 457 empleados respectivamente.</t>
  </si>
  <si>
    <t>Nota # 10 Sobregiro bancario</t>
  </si>
  <si>
    <t>Sobregiro bancario</t>
  </si>
  <si>
    <t>Saldo al 31 de diciembre de 2019</t>
  </si>
  <si>
    <t>Ingresos (Nota  15, 16 y 17)</t>
  </si>
  <si>
    <t>Gastos (Notas  18, 19, 20, 21 y  22  )</t>
  </si>
  <si>
    <r>
      <t xml:space="preserve">Un detalle de los sobregiros bancarios al 31 de diciembre del 2021 y 2020 ascendió a la suma de </t>
    </r>
    <r>
      <rPr>
        <b/>
        <sz val="11"/>
        <color theme="1"/>
        <rFont val="Times New Roman"/>
        <family val="1"/>
      </rPr>
      <t xml:space="preserve">RD$ 2,899,336.89 y RD$0.00 </t>
    </r>
    <r>
      <rPr>
        <sz val="11"/>
        <color theme="1"/>
        <rFont val="Times New Roman"/>
        <family val="1"/>
      </rPr>
      <t>respectivamente, es como sigue.</t>
    </r>
  </si>
  <si>
    <r>
      <t xml:space="preserve">Un detalle de las Cuentas por Pagar a Corto Plazo, al 30 dejunio de </t>
    </r>
    <r>
      <rPr>
        <b/>
        <sz val="11"/>
        <rFont val="Calibri"/>
        <family val="2"/>
        <scheme val="minor"/>
      </rPr>
      <t xml:space="preserve">2021 </t>
    </r>
    <r>
      <rPr>
        <sz val="11"/>
        <rFont val="Calibri"/>
        <family val="2"/>
        <scheme val="minor"/>
      </rPr>
      <t xml:space="preserve">y </t>
    </r>
    <r>
      <rPr>
        <b/>
        <sz val="11"/>
        <rFont val="Calibri"/>
        <family val="2"/>
        <scheme val="minor"/>
      </rPr>
      <t>2020</t>
    </r>
    <r>
      <rPr>
        <sz val="11"/>
        <rFont val="Calibri"/>
        <family val="2"/>
        <scheme val="minor"/>
      </rPr>
      <t xml:space="preserve"> ascendierón a la suma de </t>
    </r>
    <r>
      <rPr>
        <b/>
        <sz val="11"/>
        <rFont val="Calibri"/>
        <family val="2"/>
        <scheme val="minor"/>
      </rPr>
      <t xml:space="preserve">RD$15,243,933.97  </t>
    </r>
    <r>
      <rPr>
        <sz val="11"/>
        <rFont val="Calibri"/>
        <family val="2"/>
        <scheme val="minor"/>
      </rPr>
      <t xml:space="preserve">y </t>
    </r>
    <r>
      <rPr>
        <b/>
        <sz val="11"/>
        <rFont val="Calibri"/>
        <family val="2"/>
        <scheme val="minor"/>
      </rPr>
      <t>RD$15,761,447.92,</t>
    </r>
    <r>
      <rPr>
        <sz val="11"/>
        <rFont val="Calibri"/>
        <family val="2"/>
        <scheme val="minor"/>
      </rPr>
      <t xml:space="preserve">  es como sigue:</t>
    </r>
  </si>
  <si>
    <r>
      <t>Un detalle de los Beneficios a Empleados a Corto Plazo   al 31 de diciembre de</t>
    </r>
    <r>
      <rPr>
        <b/>
        <sz val="11"/>
        <color theme="1"/>
        <rFont val="Calibri"/>
        <family val="2"/>
        <scheme val="minor"/>
      </rPr>
      <t xml:space="preserve"> 2021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, representado por ascendierón a la suma de </t>
    </r>
    <r>
      <rPr>
        <b/>
        <sz val="11"/>
        <color theme="1"/>
        <rFont val="Calibri"/>
        <family val="2"/>
        <scheme val="minor"/>
      </rPr>
      <t xml:space="preserve">RD$0.00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 xml:space="preserve">RD$8,068,573.97, </t>
    </r>
  </si>
  <si>
    <r>
      <t>de Servicios de Supervición Estaciones de Expendio de Combustibles,  ascendieton a la suma de</t>
    </r>
    <r>
      <rPr>
        <b/>
        <sz val="11"/>
        <color theme="1"/>
        <rFont val="Calibri"/>
        <family val="2"/>
        <scheme val="minor"/>
      </rPr>
      <t xml:space="preserve"> RD$20,350,000.00 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RD$10,175,000.00</t>
    </r>
    <r>
      <rPr>
        <sz val="11"/>
        <color theme="1"/>
        <rFont val="Calibri"/>
        <family val="2"/>
        <scheme val="minor"/>
      </rPr>
      <t>,  es como sigue:</t>
    </r>
  </si>
  <si>
    <r>
      <t xml:space="preserve">y Donaciones de Gobiernos Extranjeros, ascendieron a la suma de </t>
    </r>
    <r>
      <rPr>
        <b/>
        <sz val="11"/>
        <color theme="1"/>
        <rFont val="Calibri"/>
        <family val="2"/>
        <scheme val="minor"/>
      </rPr>
      <t xml:space="preserve">RD$195,420,424.43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RD$215,722,937.99</t>
    </r>
    <r>
      <rPr>
        <sz val="11"/>
        <color theme="1"/>
        <rFont val="Calibri"/>
        <family val="2"/>
        <scheme val="minor"/>
      </rPr>
      <t xml:space="preserve">  respectivamente, es como sigue:</t>
    </r>
  </si>
  <si>
    <r>
      <t xml:space="preserve">asi como  Sobrantes de  Aportes para Gastos de Operativos,  y  Otros aportes  al 31 de diciembre de </t>
    </r>
    <r>
      <rPr>
        <b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y</t>
    </r>
    <r>
      <rPr>
        <b/>
        <sz val="11"/>
        <color theme="1"/>
        <rFont val="Calibri"/>
        <family val="2"/>
        <scheme val="minor"/>
      </rPr>
      <t xml:space="preserve"> 2020</t>
    </r>
    <r>
      <rPr>
        <sz val="11"/>
        <color theme="1"/>
        <rFont val="Calibri"/>
        <family val="2"/>
        <scheme val="minor"/>
      </rPr>
      <t>, ascendieton a la suma de</t>
    </r>
    <r>
      <rPr>
        <b/>
        <sz val="11"/>
        <color theme="1"/>
        <rFont val="Calibri"/>
        <family val="2"/>
        <scheme val="minor"/>
      </rPr>
      <t xml:space="preserve"> RD$569,894.03</t>
    </r>
    <r>
      <rPr>
        <sz val="11"/>
        <color theme="1"/>
        <rFont val="Calibri"/>
        <family val="2"/>
        <scheme val="minor"/>
      </rPr>
      <t xml:space="preserve"> y</t>
    </r>
  </si>
  <si>
    <r>
      <rPr>
        <b/>
        <sz val="11"/>
        <color theme="1"/>
        <rFont val="Calibri"/>
        <family val="2"/>
        <scheme val="minor"/>
      </rPr>
      <t xml:space="preserve"> RD$1,041,000.00,</t>
    </r>
    <r>
      <rPr>
        <sz val="11"/>
        <color theme="1"/>
        <rFont val="Calibri"/>
        <family val="2"/>
        <scheme val="minor"/>
      </rPr>
      <t xml:space="preserve"> es como sigue:</t>
    </r>
  </si>
  <si>
    <r>
      <t xml:space="preserve">Un detalle de las cuentas sueldos, salarios, beneficios a empleados al 31 de diciembre  2021 y 2020, ascendierón a la suma de </t>
    </r>
    <r>
      <rPr>
        <b/>
        <sz val="11"/>
        <color theme="1"/>
        <rFont val="Calibri"/>
        <family val="2"/>
        <scheme val="minor"/>
      </rPr>
      <t>RD$130,654,023.95</t>
    </r>
    <r>
      <rPr>
        <sz val="11"/>
        <color theme="1"/>
        <rFont val="Calibri"/>
        <family val="2"/>
        <scheme val="minor"/>
      </rPr>
      <t xml:space="preserve"> y </t>
    </r>
  </si>
  <si>
    <r>
      <rPr>
        <b/>
        <sz val="11"/>
        <color theme="1"/>
        <rFont val="Calibri"/>
        <family val="2"/>
        <scheme val="minor"/>
      </rPr>
      <t>RD$148,872,592.86,</t>
    </r>
    <r>
      <rPr>
        <sz val="11"/>
        <color theme="1"/>
        <rFont val="Calibri"/>
        <family val="2"/>
        <scheme val="minor"/>
      </rPr>
      <t xml:space="preserve">  es como sigue:</t>
    </r>
  </si>
  <si>
    <r>
      <t xml:space="preserve">Un detalle de los gastos de suministro y materiales para consumo al  31 de diciembre de </t>
    </r>
    <r>
      <rPr>
        <b/>
        <sz val="11"/>
        <color theme="1"/>
        <rFont val="Calibri"/>
        <family val="2"/>
        <scheme val="minor"/>
      </rPr>
      <t xml:space="preserve">2021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, ascendierón  a un monto de </t>
    </r>
  </si>
  <si>
    <r>
      <rPr>
        <b/>
        <sz val="11"/>
        <color theme="1"/>
        <rFont val="Calibri"/>
        <family val="2"/>
        <scheme val="minor"/>
      </rPr>
      <t>RD$29,028,052.03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RD$29,192,364.79</t>
    </r>
    <r>
      <rPr>
        <sz val="11"/>
        <color theme="1"/>
        <rFont val="Calibri"/>
        <family val="2"/>
        <scheme val="minor"/>
      </rPr>
      <t xml:space="preserve"> es como sigue:</t>
    </r>
  </si>
  <si>
    <r>
      <t>Un detalle de Otros Gastos  al  31 de diciembre de</t>
    </r>
    <r>
      <rPr>
        <b/>
        <sz val="11"/>
        <color theme="1"/>
        <rFont val="Calibri"/>
        <family val="2"/>
        <scheme val="minor"/>
      </rPr>
      <t xml:space="preserve"> 2021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 que ascendierón a la suma de  </t>
    </r>
    <r>
      <rPr>
        <b/>
        <sz val="11"/>
        <color theme="1"/>
        <rFont val="Calibri"/>
        <family val="2"/>
        <scheme val="minor"/>
      </rPr>
      <t>RD$40,272,381.81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RD$34,971,073.98</t>
    </r>
    <r>
      <rPr>
        <sz val="11"/>
        <color theme="1"/>
        <rFont val="Calibri"/>
        <family val="2"/>
        <scheme val="minor"/>
      </rPr>
      <t>,  es  como sigue:</t>
    </r>
  </si>
  <si>
    <t>total</t>
  </si>
  <si>
    <t>.</t>
  </si>
  <si>
    <t>Total de Sobregiro bancario</t>
  </si>
  <si>
    <t>Saldo al 31 de diciembre de 2021</t>
  </si>
  <si>
    <t>Concepto</t>
  </si>
  <si>
    <t>Presupuesto Reformulado</t>
  </si>
  <si>
    <t>Presupuesto Ejecutado</t>
  </si>
  <si>
    <t>%</t>
  </si>
  <si>
    <t>Variación</t>
  </si>
  <si>
    <t>Ingresos totales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</si>
  <si>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</si>
  <si>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</si>
  <si>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</si>
  <si>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</si>
  <si>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</si>
  <si>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</si>
  <si>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Obras</t>
  </si>
  <si>
    <t>Resultado financiero (1-2)</t>
  </si>
  <si>
    <t>Estado de Comparación de los Importes Presupuestados y Realizados</t>
  </si>
  <si>
    <t>Durante el Año Terminado el 31 de diciembre de 2021</t>
  </si>
  <si>
    <t>Presupuesto sobre la Base de Efectivo</t>
  </si>
  <si>
    <t>Cuenta Operativa Defensa Civil</t>
  </si>
  <si>
    <t>(Clasificación de Ingresos y Gastos por Objeto)</t>
  </si>
  <si>
    <t>Disponibilidad años anteriores</t>
  </si>
  <si>
    <t>Disminucion de cuentas por pagar</t>
  </si>
  <si>
    <t>Aumento de cuentas por pagar</t>
  </si>
  <si>
    <t>Nota # 10 Cuentas por Pagar a Corto Plazo</t>
  </si>
  <si>
    <t>Nota# 11 Retenciones y acumulaciones por pagar</t>
  </si>
  <si>
    <t>Nota#12  Beneficios a empleados a corto plazo</t>
  </si>
  <si>
    <t>Nota# 13 Activos Netos/Patrimonio</t>
  </si>
  <si>
    <t>Nota# 14 Ingresos por Transacciones con Contraprestaciones</t>
  </si>
  <si>
    <t xml:space="preserve">Nota# 15 Transferencia y donaciones </t>
  </si>
  <si>
    <t xml:space="preserve">Nota# 16 Recargos, multas y otros ingresos </t>
  </si>
  <si>
    <t xml:space="preserve"> Nota #17 Sueldos, Salarios y beneficios a empleados</t>
  </si>
  <si>
    <t>Nota# 18 Subvenciones y otros pagos por transferencias</t>
  </si>
  <si>
    <t>Nota# 19 Suministro y materiales para consumo</t>
  </si>
  <si>
    <t xml:space="preserve">Nota# 20 Gastos de depreciación y amortización </t>
  </si>
  <si>
    <t xml:space="preserve">Nota# 21 Otros gastos </t>
  </si>
  <si>
    <t>Cuentas por pagar a corto plazo (Nota 10)</t>
  </si>
  <si>
    <t>Retenciones y acumulaciones por pagar (Nota 11 )</t>
  </si>
  <si>
    <t>Beneficios a empleados a corto plazo (Nota 12)</t>
  </si>
  <si>
    <t>Activos Netos/Patrimonio (Nota 13)</t>
  </si>
  <si>
    <r>
      <t xml:space="preserve">Al 31 de diciembre de </t>
    </r>
    <r>
      <rPr>
        <b/>
        <sz val="11"/>
        <color theme="1"/>
        <rFont val="Calibri"/>
        <family val="2"/>
        <scheme val="minor"/>
      </rPr>
      <t xml:space="preserve">2021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2020</t>
    </r>
    <r>
      <rPr>
        <sz val="11"/>
        <color theme="1"/>
        <rFont val="Calibri"/>
        <family val="2"/>
        <scheme val="minor"/>
      </rPr>
      <t xml:space="preserve">,  Ajustado de la Defensa Civil, tiene un balance  de </t>
    </r>
    <r>
      <rPr>
        <b/>
        <sz val="11"/>
        <color theme="1"/>
        <rFont val="Calibri"/>
        <family val="2"/>
        <scheme val="minor"/>
      </rPr>
      <t xml:space="preserve">RD$70,250,342.60 y RD$78,669,567.19 </t>
    </r>
    <r>
      <rPr>
        <sz val="11"/>
        <color theme="1"/>
        <rFont val="Calibri"/>
        <family val="2"/>
        <scheme val="minor"/>
      </rPr>
      <t xml:space="preserve">respectivamente, </t>
    </r>
  </si>
  <si>
    <t>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</si>
</sst>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.##0.00\ _€_-;\-* #.##0.00\ _€_-;_-* &quot;-&quot;??\ _€_-;_-@_-"/>
    <numFmt numFmtId="167" formatCode="_-* #,##0.00_-;\-* #,##0.00_-;_-* &quot;-&quot;??_-;_-@_-"/>
    <numFmt numFmtId="168" formatCode="_-&quot;RD$&quot;* #,##0.00_-;\-&quot;RD$&quot;* #,##0.00_-;_-&quot;RD$&quot;* &quot;-&quot;??_-;_-@_-"/>
    <numFmt numFmtId="169" formatCode="#,##0.00000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31F2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u/>
      <sz val="12"/>
      <color rgb="FF231F2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" fillId="0" borderId="0" xfId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ont="1"/>
    <xf numFmtId="165" fontId="2" fillId="0" borderId="0" xfId="1" applyFont="1" applyAlignment="1">
      <alignment horizontal="center" vertical="center" wrapText="1"/>
    </xf>
    <xf numFmtId="165" fontId="2" fillId="0" borderId="2" xfId="1" applyFont="1" applyBorder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165" fontId="1" fillId="0" borderId="0" xfId="1" applyFont="1" applyAlignment="1">
      <alignment vertical="center" wrapText="1"/>
    </xf>
    <xf numFmtId="165" fontId="2" fillId="0" borderId="0" xfId="1" applyFont="1" applyAlignment="1">
      <alignment horizontal="justify" vertical="center" wrapText="1"/>
    </xf>
    <xf numFmtId="165" fontId="2" fillId="0" borderId="0" xfId="1" applyFont="1" applyBorder="1" applyAlignment="1">
      <alignment horizontal="center" vertical="center" wrapText="1"/>
    </xf>
    <xf numFmtId="165" fontId="3" fillId="0" borderId="0" xfId="1" applyFont="1" applyBorder="1" applyAlignment="1">
      <alignment horizontal="center" vertical="center" wrapText="1"/>
    </xf>
    <xf numFmtId="165" fontId="1" fillId="0" borderId="0" xfId="1" applyFont="1" applyBorder="1" applyAlignment="1">
      <alignment vertical="center" wrapText="1"/>
    </xf>
    <xf numFmtId="43" fontId="1" fillId="0" borderId="0" xfId="0" applyNumberFormat="1" applyFont="1"/>
    <xf numFmtId="43" fontId="5" fillId="0" borderId="0" xfId="0" applyNumberFormat="1" applyFont="1"/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0" xfId="0" applyFont="1" applyBorder="1"/>
    <xf numFmtId="4" fontId="1" fillId="0" borderId="5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165" fontId="2" fillId="3" borderId="0" xfId="1" applyFont="1" applyFill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65" fontId="1" fillId="0" borderId="10" xfId="1" applyFont="1" applyBorder="1" applyAlignment="1">
      <alignment vertical="top" wrapText="1"/>
    </xf>
    <xf numFmtId="43" fontId="3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165" fontId="3" fillId="0" borderId="11" xfId="1" applyFont="1" applyBorder="1" applyAlignment="1">
      <alignment horizontal="center" vertical="center" wrapText="1"/>
    </xf>
    <xf numFmtId="165" fontId="2" fillId="0" borderId="11" xfId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6" xfId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" fontId="1" fillId="0" borderId="1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4"/>
    </xf>
    <xf numFmtId="0" fontId="1" fillId="0" borderId="2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" fontId="0" fillId="0" borderId="5" xfId="0" applyNumberFormat="1" applyBorder="1" applyAlignment="1">
      <alignment horizontal="center"/>
    </xf>
    <xf numFmtId="165" fontId="2" fillId="3" borderId="13" xfId="1" applyFont="1" applyFill="1" applyBorder="1" applyAlignment="1">
      <alignment vertical="center" wrapText="1"/>
    </xf>
    <xf numFmtId="165" fontId="2" fillId="0" borderId="12" xfId="1" applyFont="1" applyBorder="1" applyAlignment="1">
      <alignment vertical="center" wrapText="1"/>
    </xf>
    <xf numFmtId="165" fontId="2" fillId="0" borderId="11" xfId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 applyAlignment="1">
      <alignment horizontal="center"/>
    </xf>
    <xf numFmtId="165" fontId="0" fillId="0" borderId="0" xfId="1" applyFont="1" applyAlignment="1">
      <alignment horizontal="right"/>
    </xf>
    <xf numFmtId="165" fontId="0" fillId="0" borderId="0" xfId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165" fontId="0" fillId="0" borderId="2" xfId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7" fillId="0" borderId="0" xfId="0" applyNumberFormat="1" applyFont="1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Font="1"/>
    <xf numFmtId="43" fontId="0" fillId="0" borderId="0" xfId="0" applyNumberFormat="1" applyFont="1"/>
    <xf numFmtId="4" fontId="0" fillId="0" borderId="2" xfId="1" applyNumberFormat="1" applyFont="1" applyBorder="1" applyAlignment="1">
      <alignment horizontal="right"/>
    </xf>
    <xf numFmtId="43" fontId="0" fillId="0" borderId="0" xfId="0" applyNumberFormat="1" applyFont="1" applyBorder="1"/>
    <xf numFmtId="4" fontId="7" fillId="0" borderId="0" xfId="0" applyNumberFormat="1" applyFont="1" applyBorder="1"/>
    <xf numFmtId="4" fontId="0" fillId="0" borderId="0" xfId="0" applyNumberFormat="1" applyFont="1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3" borderId="18" xfId="0" applyNumberFormat="1" applyFont="1" applyFill="1" applyBorder="1"/>
    <xf numFmtId="4" fontId="0" fillId="3" borderId="20" xfId="1" applyNumberFormat="1" applyFont="1" applyFill="1" applyBorder="1" applyAlignment="1">
      <alignment horizontal="left"/>
    </xf>
    <xf numFmtId="4" fontId="0" fillId="0" borderId="20" xfId="0" applyNumberFormat="1" applyFont="1" applyBorder="1"/>
    <xf numFmtId="4" fontId="0" fillId="0" borderId="26" xfId="0" applyNumberFormat="1" applyFont="1" applyBorder="1"/>
    <xf numFmtId="4" fontId="0" fillId="3" borderId="6" xfId="1" applyNumberFormat="1" applyFont="1" applyFill="1" applyBorder="1" applyAlignment="1">
      <alignment horizontal="left"/>
    </xf>
    <xf numFmtId="4" fontId="0" fillId="3" borderId="0" xfId="1" applyNumberFormat="1" applyFont="1" applyFill="1" applyBorder="1" applyAlignment="1">
      <alignment horizontal="left"/>
    </xf>
    <xf numFmtId="4" fontId="0" fillId="3" borderId="2" xfId="1" applyNumberFormat="1" applyFont="1" applyFill="1" applyBorder="1" applyAlignment="1">
      <alignment horizontal="right"/>
    </xf>
    <xf numFmtId="4" fontId="0" fillId="3" borderId="6" xfId="1" applyNumberFormat="1" applyFont="1" applyFill="1" applyBorder="1" applyAlignment="1">
      <alignment horizontal="right"/>
    </xf>
    <xf numFmtId="165" fontId="0" fillId="3" borderId="0" xfId="1" applyFont="1" applyFill="1" applyBorder="1"/>
    <xf numFmtId="4" fontId="0" fillId="0" borderId="27" xfId="0" applyNumberFormat="1" applyFont="1" applyBorder="1"/>
    <xf numFmtId="4" fontId="7" fillId="3" borderId="6" xfId="0" applyNumberFormat="1" applyFont="1" applyFill="1" applyBorder="1"/>
    <xf numFmtId="4" fontId="7" fillId="3" borderId="0" xfId="0" applyNumberFormat="1" applyFont="1" applyFill="1" applyBorder="1"/>
    <xf numFmtId="4" fontId="7" fillId="0" borderId="26" xfId="0" applyNumberFormat="1" applyFont="1" applyBorder="1"/>
    <xf numFmtId="4" fontId="0" fillId="3" borderId="0" xfId="1" applyNumberFormat="1" applyFont="1" applyFill="1" applyBorder="1" applyAlignment="1">
      <alignment horizontal="right"/>
    </xf>
    <xf numFmtId="4" fontId="0" fillId="3" borderId="27" xfId="1" applyNumberFormat="1" applyFont="1" applyFill="1" applyBorder="1" applyAlignment="1">
      <alignment horizontal="right"/>
    </xf>
    <xf numFmtId="165" fontId="0" fillId="3" borderId="27" xfId="1" applyFont="1" applyFill="1" applyBorder="1"/>
    <xf numFmtId="4" fontId="7" fillId="3" borderId="1" xfId="0" applyNumberFormat="1" applyFont="1" applyFill="1" applyBorder="1"/>
    <xf numFmtId="4" fontId="7" fillId="3" borderId="30" xfId="0" applyNumberFormat="1" applyFont="1" applyFill="1" applyBorder="1"/>
    <xf numFmtId="166" fontId="0" fillId="0" borderId="0" xfId="0" applyNumberFormat="1" applyFont="1"/>
    <xf numFmtId="0" fontId="0" fillId="0" borderId="7" xfId="0" applyFont="1" applyBorder="1"/>
    <xf numFmtId="165" fontId="7" fillId="0" borderId="21" xfId="1" applyFont="1" applyBorder="1"/>
    <xf numFmtId="4" fontId="7" fillId="0" borderId="21" xfId="0" applyNumberFormat="1" applyFont="1" applyBorder="1"/>
    <xf numFmtId="4" fontId="7" fillId="0" borderId="29" xfId="0" applyNumberFormat="1" applyFont="1" applyBorder="1"/>
    <xf numFmtId="165" fontId="7" fillId="0" borderId="0" xfId="1" applyFont="1" applyBorder="1"/>
    <xf numFmtId="0" fontId="7" fillId="0" borderId="23" xfId="0" applyFont="1" applyBorder="1" applyAlignment="1">
      <alignment vertical="center"/>
    </xf>
    <xf numFmtId="165" fontId="7" fillId="0" borderId="22" xfId="1" applyFont="1" applyBorder="1" applyAlignment="1">
      <alignment horizontal="center" vertical="center"/>
    </xf>
    <xf numFmtId="165" fontId="7" fillId="0" borderId="24" xfId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0" fillId="3" borderId="28" xfId="1" applyNumberFormat="1" applyFont="1" applyFill="1" applyBorder="1" applyAlignment="1">
      <alignment horizontal="right"/>
    </xf>
    <xf numFmtId="4" fontId="7" fillId="3" borderId="27" xfId="0" applyNumberFormat="1" applyFont="1" applyFill="1" applyBorder="1"/>
    <xf numFmtId="0" fontId="0" fillId="0" borderId="21" xfId="0" applyFont="1" applyBorder="1"/>
    <xf numFmtId="165" fontId="0" fillId="0" borderId="21" xfId="1" applyFont="1" applyBorder="1"/>
    <xf numFmtId="0" fontId="0" fillId="0" borderId="29" xfId="0" applyFont="1" applyBorder="1"/>
    <xf numFmtId="165" fontId="0" fillId="0" borderId="0" xfId="1" applyFont="1" applyBorder="1"/>
    <xf numFmtId="0" fontId="7" fillId="3" borderId="0" xfId="0" applyFont="1" applyFill="1"/>
    <xf numFmtId="0" fontId="0" fillId="3" borderId="0" xfId="0" applyFont="1" applyFill="1"/>
    <xf numFmtId="0" fontId="0" fillId="3" borderId="0" xfId="0" applyFont="1" applyFill="1" applyBorder="1"/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" fontId="0" fillId="3" borderId="2" xfId="1" applyNumberFormat="1" applyFont="1" applyFill="1" applyBorder="1" applyAlignment="1">
      <alignment horizontal="center"/>
    </xf>
    <xf numFmtId="4" fontId="7" fillId="3" borderId="0" xfId="1" applyNumberFormat="1" applyFont="1" applyFill="1" applyBorder="1" applyAlignment="1">
      <alignment horizontal="center"/>
    </xf>
    <xf numFmtId="4" fontId="7" fillId="3" borderId="0" xfId="1" applyNumberFormat="1" applyFont="1" applyFill="1" applyAlignment="1">
      <alignment horizontal="right"/>
    </xf>
    <xf numFmtId="4" fontId="16" fillId="3" borderId="0" xfId="1" applyNumberFormat="1" applyFont="1" applyFill="1" applyBorder="1" applyAlignment="1">
      <alignment horizontal="right"/>
    </xf>
    <xf numFmtId="165" fontId="0" fillId="0" borderId="0" xfId="1" applyFont="1"/>
    <xf numFmtId="0" fontId="17" fillId="0" borderId="0" xfId="0" applyFont="1"/>
    <xf numFmtId="0" fontId="17" fillId="0" borderId="0" xfId="0" applyFont="1" applyBorder="1"/>
    <xf numFmtId="0" fontId="7" fillId="3" borderId="0" xfId="0" applyFont="1" applyFill="1" applyBorder="1" applyAlignment="1">
      <alignment horizontal="center"/>
    </xf>
    <xf numFmtId="4" fontId="0" fillId="3" borderId="0" xfId="1" applyNumberFormat="1" applyFont="1" applyFill="1" applyAlignment="1">
      <alignment horizontal="right"/>
    </xf>
    <xf numFmtId="4" fontId="7" fillId="3" borderId="0" xfId="0" applyNumberFormat="1" applyFont="1" applyFill="1"/>
    <xf numFmtId="4" fontId="16" fillId="3" borderId="0" xfId="0" applyNumberFormat="1" applyFont="1" applyFill="1"/>
    <xf numFmtId="4" fontId="0" fillId="3" borderId="0" xfId="0" applyNumberFormat="1" applyFont="1" applyFill="1"/>
    <xf numFmtId="4" fontId="17" fillId="3" borderId="0" xfId="0" applyNumberFormat="1" applyFont="1" applyFill="1"/>
    <xf numFmtId="0" fontId="17" fillId="3" borderId="0" xfId="0" applyFont="1" applyFill="1"/>
    <xf numFmtId="43" fontId="0" fillId="3" borderId="0" xfId="0" applyNumberFormat="1" applyFont="1" applyFill="1"/>
    <xf numFmtId="0" fontId="13" fillId="3" borderId="0" xfId="0" applyFont="1" applyFill="1"/>
    <xf numFmtId="4" fontId="7" fillId="3" borderId="0" xfId="1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" fontId="7" fillId="3" borderId="0" xfId="1" applyNumberFormat="1" applyFont="1" applyFill="1"/>
    <xf numFmtId="4" fontId="7" fillId="3" borderId="0" xfId="1" applyNumberFormat="1" applyFont="1" applyFill="1" applyBorder="1"/>
    <xf numFmtId="165" fontId="7" fillId="3" borderId="0" xfId="1" applyFont="1" applyFill="1"/>
    <xf numFmtId="165" fontId="7" fillId="3" borderId="0" xfId="1" applyFont="1" applyFill="1" applyBorder="1"/>
    <xf numFmtId="0" fontId="0" fillId="2" borderId="0" xfId="0" applyFont="1" applyFill="1"/>
    <xf numFmtId="165" fontId="0" fillId="3" borderId="2" xfId="1" applyFont="1" applyFill="1" applyBorder="1" applyAlignment="1">
      <alignment horizontal="right"/>
    </xf>
    <xf numFmtId="165" fontId="0" fillId="3" borderId="0" xfId="1" applyFont="1" applyFill="1" applyBorder="1" applyAlignment="1">
      <alignment horizontal="right"/>
    </xf>
    <xf numFmtId="165" fontId="7" fillId="3" borderId="0" xfId="0" applyNumberFormat="1" applyFont="1" applyFill="1"/>
    <xf numFmtId="165" fontId="7" fillId="3" borderId="0" xfId="0" applyNumberFormat="1" applyFont="1" applyFill="1" applyBorder="1"/>
    <xf numFmtId="0" fontId="7" fillId="3" borderId="0" xfId="0" applyFont="1" applyFill="1" applyBorder="1"/>
    <xf numFmtId="4" fontId="7" fillId="3" borderId="0" xfId="0" applyNumberFormat="1" applyFont="1" applyFill="1" applyBorder="1" applyAlignment="1">
      <alignment horizontal="right"/>
    </xf>
    <xf numFmtId="169" fontId="0" fillId="0" borderId="0" xfId="0" applyNumberFormat="1" applyFont="1"/>
    <xf numFmtId="165" fontId="0" fillId="3" borderId="0" xfId="1" applyFont="1" applyFill="1" applyBorder="1" applyAlignment="1">
      <alignment wrapText="1"/>
    </xf>
    <xf numFmtId="165" fontId="0" fillId="3" borderId="2" xfId="1" applyFont="1" applyFill="1" applyBorder="1" applyAlignment="1">
      <alignment wrapText="1"/>
    </xf>
    <xf numFmtId="165" fontId="7" fillId="3" borderId="0" xfId="0" applyNumberFormat="1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4" fontId="0" fillId="0" borderId="2" xfId="1" applyNumberFormat="1" applyFont="1" applyBorder="1" applyAlignment="1">
      <alignment horizontal="right" vertical="center"/>
    </xf>
    <xf numFmtId="4" fontId="0" fillId="0" borderId="0" xfId="1" applyNumberFormat="1" applyFont="1" applyBorder="1" applyAlignment="1">
      <alignment horizontal="right" vertical="center"/>
    </xf>
    <xf numFmtId="165" fontId="0" fillId="0" borderId="0" xfId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" borderId="2" xfId="0" applyNumberFormat="1" applyFont="1" applyFill="1" applyBorder="1"/>
    <xf numFmtId="4" fontId="0" fillId="3" borderId="0" xfId="0" applyNumberFormat="1" applyFont="1" applyFill="1" applyBorder="1"/>
    <xf numFmtId="165" fontId="7" fillId="3" borderId="0" xfId="0" applyNumberFormat="1" applyFont="1" applyFill="1" applyBorder="1" applyAlignment="1">
      <alignment horizontal="right"/>
    </xf>
    <xf numFmtId="4" fontId="0" fillId="0" borderId="0" xfId="1" applyNumberFormat="1" applyFont="1" applyAlignment="1">
      <alignment wrapText="1"/>
    </xf>
    <xf numFmtId="165" fontId="7" fillId="0" borderId="0" xfId="1" applyFont="1"/>
    <xf numFmtId="4" fontId="0" fillId="0" borderId="1" xfId="1" applyNumberFormat="1" applyFont="1" applyBorder="1" applyAlignment="1">
      <alignment wrapText="1"/>
    </xf>
    <xf numFmtId="4" fontId="0" fillId="0" borderId="0" xfId="1" applyNumberFormat="1" applyFont="1" applyBorder="1" applyAlignment="1">
      <alignment wrapText="1"/>
    </xf>
    <xf numFmtId="43" fontId="7" fillId="0" borderId="0" xfId="0" applyNumberFormat="1" applyFont="1"/>
    <xf numFmtId="4" fontId="7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1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7" fillId="0" borderId="0" xfId="0" applyNumberFormat="1" applyFont="1"/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5" fontId="0" fillId="0" borderId="0" xfId="1" applyFont="1" applyBorder="1" applyAlignment="1">
      <alignment horizontal="center"/>
    </xf>
    <xf numFmtId="165" fontId="0" fillId="0" borderId="0" xfId="1" applyFont="1" applyBorder="1" applyAlignment="1">
      <alignment horizontal="center" wrapText="1"/>
    </xf>
    <xf numFmtId="165" fontId="0" fillId="0" borderId="0" xfId="1" applyFont="1" applyAlignment="1">
      <alignment horizontal="center"/>
    </xf>
    <xf numFmtId="165" fontId="0" fillId="0" borderId="0" xfId="1" applyFont="1" applyBorder="1" applyAlignment="1">
      <alignment wrapText="1"/>
    </xf>
    <xf numFmtId="165" fontId="7" fillId="0" borderId="0" xfId="0" applyNumberFormat="1" applyFont="1" applyAlignment="1">
      <alignment wrapText="1"/>
    </xf>
    <xf numFmtId="4" fontId="9" fillId="0" borderId="0" xfId="0" applyNumberFormat="1" applyFont="1"/>
    <xf numFmtId="4" fontId="8" fillId="0" borderId="0" xfId="0" applyNumberFormat="1" applyFont="1"/>
    <xf numFmtId="165" fontId="2" fillId="2" borderId="0" xfId="1" applyFont="1" applyFill="1" applyAlignment="1">
      <alignment horizontal="center" vertical="center" wrapText="1"/>
    </xf>
    <xf numFmtId="165" fontId="0" fillId="0" borderId="0" xfId="1" applyFont="1" applyBorder="1" applyAlignment="1">
      <alignment horizontal="right" wrapText="1"/>
    </xf>
    <xf numFmtId="0" fontId="0" fillId="0" borderId="22" xfId="0" applyBorder="1" applyAlignment="1">
      <alignment vertical="top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4" fontId="22" fillId="0" borderId="29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29" xfId="0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4" fontId="22" fillId="0" borderId="29" xfId="0" applyNumberFormat="1" applyFont="1" applyBorder="1" applyAlignment="1">
      <alignment horizontal="right" vertical="center"/>
    </xf>
    <xf numFmtId="9" fontId="22" fillId="0" borderId="29" xfId="0" applyNumberFormat="1" applyFont="1" applyBorder="1" applyAlignment="1">
      <alignment horizontal="center" vertical="center"/>
    </xf>
    <xf numFmtId="9" fontId="21" fillId="0" borderId="2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43" fontId="0" fillId="0" borderId="0" xfId="0" applyNumberFormat="1"/>
    <xf numFmtId="0" fontId="0" fillId="0" borderId="10" xfId="0" applyBorder="1" applyAlignment="1">
      <alignment vertical="top"/>
    </xf>
    <xf numFmtId="4" fontId="21" fillId="0" borderId="29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165" fontId="0" fillId="0" borderId="0" xfId="0" applyNumberFormat="1" applyFont="1"/>
    <xf numFmtId="165" fontId="0" fillId="3" borderId="0" xfId="1" applyFont="1" applyFill="1"/>
    <xf numFmtId="0" fontId="1" fillId="0" borderId="0" xfId="0" applyFont="1" applyBorder="1" applyAlignment="1">
      <alignment horizontal="center"/>
    </xf>
    <xf numFmtId="0" fontId="0" fillId="0" borderId="0" xfId="0" applyBorder="1"/>
    <xf numFmtId="41" fontId="23" fillId="4" borderId="0" xfId="0" applyNumberFormat="1" applyFont="1" applyFill="1" applyBorder="1" applyAlignment="1">
      <alignment vertical="center"/>
    </xf>
    <xf numFmtId="43" fontId="3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5" fillId="0" borderId="0" xfId="0" applyFont="1"/>
    <xf numFmtId="4" fontId="25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/>
    <xf numFmtId="4" fontId="26" fillId="0" borderId="0" xfId="0" applyNumberFormat="1" applyFont="1"/>
    <xf numFmtId="4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1" fillId="0" borderId="0" xfId="1" applyFont="1" applyAlignment="1">
      <alignment horizontal="center"/>
    </xf>
    <xf numFmtId="165" fontId="5" fillId="0" borderId="0" xfId="1" applyFont="1" applyBorder="1" applyAlignment="1">
      <alignment horizontal="center"/>
    </xf>
    <xf numFmtId="165" fontId="1" fillId="0" borderId="0" xfId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1" fillId="0" borderId="31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wrapText="1"/>
    </xf>
  </cellXfs>
  <cellStyles count="12">
    <cellStyle name="Millares" xfId="1" builtinId="3"/>
    <cellStyle name="Millares 2" xfId="2"/>
    <cellStyle name="Millares 2 2" xfId="10"/>
    <cellStyle name="Millares 2 3" xfId="11"/>
    <cellStyle name="Millares 3" xfId="5"/>
    <cellStyle name="Millares 4" xfId="9"/>
    <cellStyle name="Moneda 2" xfId="4"/>
    <cellStyle name="Moneda 3" xfId="6"/>
    <cellStyle name="Moneda 4" xfId="8"/>
    <cellStyle name="Normal" xfId="0" builtinId="0"/>
    <cellStyle name="Normal 2" xfId="3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uentas%20por%20Pagar%20Dic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Estados%20Financieros%202021/Consolidados%20%202017-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DICIEMBRE 2021 (2)"/>
    </sheetNames>
    <sheetDataSet>
      <sheetData sheetId="0">
        <row r="36">
          <cell r="F36">
            <v>8999.2800000000007</v>
          </cell>
        </row>
        <row r="72">
          <cell r="F72">
            <v>15619226.560000001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CONSOLIDADO 2017"/>
      <sheetName val="2018"/>
      <sheetName val="CONSOLIDADO 2018"/>
      <sheetName val="CONSOLIDADO 2019"/>
      <sheetName val="CONSOLIDADDO 2019"/>
      <sheetName val="CONSOLIDADO 2020"/>
      <sheetName val="CONSOLIDADO 2021"/>
      <sheetName val="Hoja3"/>
      <sheetName val="EJEC. CONSOLIDADA 2019"/>
      <sheetName val="Hoja1"/>
      <sheetName val="EJEC. CONSOLIDADA EN-OCTUB"/>
      <sheetName val="EJEC. CONSOLIDADA EN-MAYO (2)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83352337.709999949</v>
          </cell>
        </row>
        <row r="14">
          <cell r="I14">
            <v>3157333.33</v>
          </cell>
        </row>
        <row r="15">
          <cell r="I15">
            <v>150000</v>
          </cell>
        </row>
        <row r="16">
          <cell r="G16">
            <v>5389250</v>
          </cell>
        </row>
        <row r="17">
          <cell r="G17">
            <v>187500</v>
          </cell>
        </row>
        <row r="18">
          <cell r="G18">
            <v>7964507.0499999998</v>
          </cell>
        </row>
        <row r="19">
          <cell r="I19">
            <v>1822826.26</v>
          </cell>
        </row>
        <row r="20">
          <cell r="I20">
            <v>2641200</v>
          </cell>
        </row>
        <row r="21">
          <cell r="I21">
            <v>1208566.76</v>
          </cell>
        </row>
        <row r="23">
          <cell r="I23">
            <v>244049.85</v>
          </cell>
        </row>
        <row r="24">
          <cell r="I24">
            <v>3024000</v>
          </cell>
        </row>
        <row r="25">
          <cell r="I25">
            <v>6656380</v>
          </cell>
        </row>
        <row r="26">
          <cell r="G26">
            <v>617285</v>
          </cell>
        </row>
        <row r="28">
          <cell r="I28">
            <v>105000</v>
          </cell>
        </row>
        <row r="35">
          <cell r="I35">
            <v>7689439.79</v>
          </cell>
        </row>
        <row r="36">
          <cell r="I36">
            <v>652049.33000000007</v>
          </cell>
        </row>
        <row r="37">
          <cell r="I37">
            <v>5723224.6000000024</v>
          </cell>
        </row>
        <row r="38">
          <cell r="I38">
            <v>203821</v>
          </cell>
        </row>
        <row r="39">
          <cell r="I39">
            <v>24145</v>
          </cell>
        </row>
        <row r="41">
          <cell r="I41">
            <v>124486.45</v>
          </cell>
        </row>
        <row r="43">
          <cell r="I43">
            <v>7456001.0499999998</v>
          </cell>
        </row>
        <row r="44">
          <cell r="I44">
            <v>13939.2</v>
          </cell>
        </row>
        <row r="46">
          <cell r="I46">
            <v>54707.38</v>
          </cell>
        </row>
        <row r="48">
          <cell r="I48">
            <v>113358.75</v>
          </cell>
        </row>
        <row r="49">
          <cell r="I49">
            <v>16140</v>
          </cell>
        </row>
        <row r="50">
          <cell r="I50">
            <v>224672</v>
          </cell>
        </row>
        <row r="51">
          <cell r="I51">
            <v>0</v>
          </cell>
        </row>
        <row r="52">
          <cell r="I52">
            <v>39166.400000000001</v>
          </cell>
        </row>
        <row r="54">
          <cell r="I54">
            <v>181250</v>
          </cell>
        </row>
        <row r="55">
          <cell r="I55">
            <v>394600.32</v>
          </cell>
        </row>
        <row r="57">
          <cell r="I57">
            <v>3354500.1500000004</v>
          </cell>
        </row>
        <row r="58">
          <cell r="I58">
            <v>8924400</v>
          </cell>
        </row>
        <row r="60">
          <cell r="I60">
            <v>555915.30000000005</v>
          </cell>
        </row>
        <row r="61">
          <cell r="I61">
            <v>39550</v>
          </cell>
        </row>
        <row r="62">
          <cell r="I62">
            <v>10561</v>
          </cell>
        </row>
        <row r="63">
          <cell r="I63">
            <v>933562.3</v>
          </cell>
        </row>
        <row r="64">
          <cell r="I64">
            <v>269503.11</v>
          </cell>
        </row>
        <row r="65">
          <cell r="I65">
            <v>23242.146440677967</v>
          </cell>
        </row>
        <row r="67">
          <cell r="I67">
            <v>45728.5</v>
          </cell>
        </row>
        <row r="68">
          <cell r="I68">
            <v>13786</v>
          </cell>
        </row>
        <row r="69">
          <cell r="I69">
            <v>44635</v>
          </cell>
        </row>
        <row r="70">
          <cell r="I70">
            <v>33900</v>
          </cell>
        </row>
        <row r="71">
          <cell r="I71">
            <v>97180</v>
          </cell>
        </row>
        <row r="72">
          <cell r="I72">
            <v>266504</v>
          </cell>
        </row>
        <row r="73">
          <cell r="I73">
            <v>12000</v>
          </cell>
        </row>
        <row r="74">
          <cell r="I74">
            <v>752414.19</v>
          </cell>
        </row>
        <row r="75">
          <cell r="I75">
            <v>1276037.1499999999</v>
          </cell>
        </row>
        <row r="77">
          <cell r="I77">
            <v>51648</v>
          </cell>
        </row>
        <row r="78">
          <cell r="I78">
            <v>307102.78999999998</v>
          </cell>
        </row>
        <row r="79">
          <cell r="I79">
            <v>349210.9</v>
          </cell>
        </row>
        <row r="82">
          <cell r="I82">
            <v>7251161.9900000002</v>
          </cell>
        </row>
        <row r="83">
          <cell r="I83">
            <v>610682.6</v>
          </cell>
        </row>
        <row r="84">
          <cell r="I84">
            <v>7434</v>
          </cell>
        </row>
        <row r="86">
          <cell r="I86">
            <v>2116.8000000000002</v>
          </cell>
        </row>
        <row r="87">
          <cell r="I87">
            <v>388914.13999999996</v>
          </cell>
        </row>
        <row r="88">
          <cell r="I88">
            <v>4754982.2</v>
          </cell>
        </row>
        <row r="89">
          <cell r="I89">
            <v>14916</v>
          </cell>
        </row>
        <row r="91">
          <cell r="I91">
            <v>176223.2</v>
          </cell>
        </row>
        <row r="92">
          <cell r="I92">
            <v>157760.70000000001</v>
          </cell>
        </row>
        <row r="93">
          <cell r="I93">
            <v>558175.74</v>
          </cell>
        </row>
        <row r="94">
          <cell r="I94">
            <v>6780</v>
          </cell>
        </row>
        <row r="96">
          <cell r="I96">
            <v>94826.9</v>
          </cell>
        </row>
        <row r="97">
          <cell r="H97">
            <v>42030.400000000001</v>
          </cell>
        </row>
        <row r="99">
          <cell r="I99">
            <v>16899.150000000001</v>
          </cell>
        </row>
        <row r="100">
          <cell r="I100">
            <v>339189.81999999995</v>
          </cell>
        </row>
        <row r="101">
          <cell r="I101">
            <v>50357.01</v>
          </cell>
        </row>
        <row r="102">
          <cell r="I102">
            <v>339965.18</v>
          </cell>
        </row>
        <row r="104">
          <cell r="I104">
            <v>553.70000000000005</v>
          </cell>
        </row>
        <row r="105">
          <cell r="I105">
            <v>15859.2</v>
          </cell>
        </row>
        <row r="106">
          <cell r="I106">
            <v>24190</v>
          </cell>
        </row>
        <row r="107">
          <cell r="I107">
            <v>13870.75</v>
          </cell>
        </row>
        <row r="108">
          <cell r="I108">
            <v>3646.2000000000003</v>
          </cell>
        </row>
        <row r="109">
          <cell r="I109">
            <v>3540</v>
          </cell>
        </row>
        <row r="110">
          <cell r="I110">
            <v>176663.97999999998</v>
          </cell>
        </row>
        <row r="111">
          <cell r="I111">
            <v>179991.79</v>
          </cell>
        </row>
        <row r="114">
          <cell r="I114">
            <v>5940000</v>
          </cell>
        </row>
        <row r="115">
          <cell r="I115">
            <v>3029382.6892535733</v>
          </cell>
        </row>
        <row r="116">
          <cell r="I116">
            <v>97790.170000000013</v>
          </cell>
        </row>
        <row r="117">
          <cell r="I117">
            <v>106463.09000000001</v>
          </cell>
        </row>
        <row r="118">
          <cell r="I118">
            <v>442.5</v>
          </cell>
        </row>
        <row r="119">
          <cell r="I119">
            <v>107660</v>
          </cell>
        </row>
        <row r="120">
          <cell r="I120">
            <v>3129</v>
          </cell>
        </row>
        <row r="121">
          <cell r="I121">
            <v>482251.15</v>
          </cell>
        </row>
        <row r="122">
          <cell r="I122">
            <v>80586.12</v>
          </cell>
        </row>
        <row r="124">
          <cell r="I124">
            <v>310517.81</v>
          </cell>
        </row>
        <row r="125">
          <cell r="I125">
            <v>647661.97</v>
          </cell>
        </row>
        <row r="126">
          <cell r="I126">
            <v>3164</v>
          </cell>
        </row>
        <row r="127">
          <cell r="I127">
            <v>485938.033</v>
          </cell>
        </row>
        <row r="128">
          <cell r="I128">
            <v>47289.22</v>
          </cell>
        </row>
        <row r="129">
          <cell r="I129">
            <v>1223098.1299999999</v>
          </cell>
        </row>
        <row r="130">
          <cell r="I130">
            <v>465595.04000000004</v>
          </cell>
        </row>
        <row r="131">
          <cell r="I131">
            <v>42747.9</v>
          </cell>
        </row>
        <row r="132">
          <cell r="I132">
            <v>226170.23999999999</v>
          </cell>
        </row>
        <row r="133">
          <cell r="I133">
            <v>497433.52</v>
          </cell>
        </row>
        <row r="134">
          <cell r="I134">
            <v>671370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topLeftCell="A41" zoomScale="150" zoomScaleNormal="150" workbookViewId="0">
      <selection activeCell="B56" sqref="B56"/>
    </sheetView>
  </sheetViews>
  <sheetFormatPr baseColWidth="10" defaultColWidth="11.42578125" defaultRowHeight="12.75" x14ac:dyDescent="0.2"/>
  <cols>
    <col min="1" max="1" width="3.28515625" style="29" customWidth="1"/>
    <col min="2" max="2" width="50" style="29" customWidth="1"/>
    <col min="3" max="3" width="16.28515625" style="29" customWidth="1"/>
    <col min="4" max="4" width="1.42578125" style="51" customWidth="1"/>
    <col min="5" max="5" width="15.85546875" style="29" customWidth="1"/>
    <col min="6" max="6" width="42.28515625" style="29" bestFit="1" customWidth="1"/>
    <col min="7" max="7" width="14.140625" style="29" bestFit="1" customWidth="1"/>
    <col min="8" max="8" width="12.28515625" style="29" bestFit="1" customWidth="1"/>
    <col min="9" max="16384" width="11.42578125" style="29"/>
  </cols>
  <sheetData>
    <row r="1" spans="2:7" ht="35.25" customHeight="1" x14ac:dyDescent="0.2">
      <c r="B1" s="299"/>
      <c r="C1" s="299"/>
      <c r="D1" s="299"/>
      <c r="E1" s="299"/>
    </row>
    <row r="2" spans="2:7" ht="15.75" x14ac:dyDescent="0.2">
      <c r="B2" s="300" t="s">
        <v>16</v>
      </c>
      <c r="C2" s="300"/>
      <c r="D2" s="300"/>
      <c r="E2" s="300"/>
    </row>
    <row r="3" spans="2:7" ht="15.75" x14ac:dyDescent="0.2">
      <c r="B3" s="300" t="s">
        <v>405</v>
      </c>
      <c r="C3" s="300"/>
      <c r="D3" s="300"/>
      <c r="E3" s="300"/>
    </row>
    <row r="4" spans="2:7" ht="15.75" x14ac:dyDescent="0.2">
      <c r="B4" s="300" t="s">
        <v>17</v>
      </c>
      <c r="C4" s="300"/>
      <c r="D4" s="300"/>
      <c r="E4" s="300"/>
    </row>
    <row r="5" spans="2:7" ht="15.75" x14ac:dyDescent="0.2">
      <c r="B5" s="267"/>
      <c r="C5" s="267"/>
      <c r="D5" s="269"/>
      <c r="E5" s="267"/>
    </row>
    <row r="6" spans="2:7" ht="12.75" customHeight="1" x14ac:dyDescent="0.2">
      <c r="B6" s="1"/>
      <c r="C6" s="16">
        <v>2021</v>
      </c>
      <c r="D6" s="20"/>
      <c r="E6" s="16">
        <v>2020</v>
      </c>
      <c r="F6" s="230"/>
    </row>
    <row r="7" spans="2:7" ht="15.75" x14ac:dyDescent="0.2">
      <c r="B7" s="5" t="s">
        <v>0</v>
      </c>
      <c r="C7" s="1"/>
      <c r="D7" s="23"/>
      <c r="E7" s="1"/>
    </row>
    <row r="8" spans="2:7" ht="15.75" x14ac:dyDescent="0.2">
      <c r="B8" s="5" t="s">
        <v>1</v>
      </c>
      <c r="C8" s="1"/>
      <c r="D8" s="23"/>
      <c r="E8" s="1"/>
    </row>
    <row r="9" spans="2:7" ht="15.75" x14ac:dyDescent="0.2">
      <c r="B9" s="270" t="s">
        <v>18</v>
      </c>
      <c r="C9" s="271">
        <f>+'Flujo de Efectivo'!B63</f>
        <v>18413003.301305801</v>
      </c>
      <c r="D9" s="271"/>
      <c r="E9" s="271">
        <f>'NOTAS 7 AL 48 '!H11</f>
        <v>20979065.719999995</v>
      </c>
      <c r="F9" s="230"/>
    </row>
    <row r="10" spans="2:7" ht="15.75" hidden="1" x14ac:dyDescent="0.2">
      <c r="B10" s="270" t="s">
        <v>19</v>
      </c>
      <c r="C10" s="271">
        <v>0</v>
      </c>
      <c r="D10" s="271"/>
      <c r="E10" s="271"/>
    </row>
    <row r="11" spans="2:7" ht="15.75" hidden="1" x14ac:dyDescent="0.2">
      <c r="B11" s="270" t="s">
        <v>20</v>
      </c>
      <c r="C11" s="271">
        <v>0</v>
      </c>
      <c r="D11" s="271"/>
      <c r="E11" s="271"/>
    </row>
    <row r="12" spans="2:7" ht="15.75" hidden="1" x14ac:dyDescent="0.2">
      <c r="B12" s="270" t="s">
        <v>21</v>
      </c>
      <c r="C12" s="271">
        <v>0</v>
      </c>
      <c r="D12" s="271"/>
      <c r="E12" s="271"/>
    </row>
    <row r="13" spans="2:7" ht="15.75" x14ac:dyDescent="0.2">
      <c r="B13" s="270" t="s">
        <v>155</v>
      </c>
      <c r="C13" s="272">
        <f>+'NOTAS 7 AL 48 '!F59</f>
        <v>1371844.44</v>
      </c>
      <c r="D13" s="271"/>
      <c r="E13" s="272">
        <f>'NOTAS 7 AL 48 '!H59</f>
        <v>1506136.5500000003</v>
      </c>
      <c r="F13" s="230"/>
      <c r="G13" s="230"/>
    </row>
    <row r="14" spans="2:7" ht="15.75" hidden="1" x14ac:dyDescent="0.2">
      <c r="B14" s="270" t="s">
        <v>2</v>
      </c>
      <c r="C14" s="273">
        <v>0</v>
      </c>
      <c r="D14" s="271"/>
      <c r="E14" s="273">
        <v>0</v>
      </c>
    </row>
    <row r="15" spans="2:7" ht="15.75" hidden="1" x14ac:dyDescent="0.2">
      <c r="B15" s="270" t="s">
        <v>3</v>
      </c>
      <c r="C15" s="272">
        <v>0</v>
      </c>
      <c r="D15" s="271"/>
      <c r="E15" s="272">
        <v>0</v>
      </c>
    </row>
    <row r="16" spans="2:7" ht="15.75" x14ac:dyDescent="0.2">
      <c r="B16" s="5" t="s">
        <v>4</v>
      </c>
      <c r="C16" s="274">
        <f>SUM(C9:C15)</f>
        <v>19784847.741305802</v>
      </c>
      <c r="D16" s="275"/>
      <c r="E16" s="274">
        <f>SUM(E9:E15)</f>
        <v>22485202.269999996</v>
      </c>
      <c r="F16" s="230"/>
    </row>
    <row r="17" spans="2:8" ht="6.75" customHeight="1" x14ac:dyDescent="0.2">
      <c r="B17" s="5"/>
      <c r="C17" s="274"/>
      <c r="D17" s="275"/>
      <c r="E17" s="274"/>
    </row>
    <row r="18" spans="2:8" ht="15.75" x14ac:dyDescent="0.2">
      <c r="B18" s="5" t="s">
        <v>5</v>
      </c>
      <c r="C18" s="276"/>
      <c r="D18" s="277"/>
      <c r="E18" s="276"/>
      <c r="F18" s="230"/>
    </row>
    <row r="19" spans="2:8" ht="15.75" x14ac:dyDescent="0.2">
      <c r="B19" s="270" t="s">
        <v>260</v>
      </c>
      <c r="C19" s="272">
        <f>+'NOTAS 7 AL 48 '!J91</f>
        <v>66075722.139999971</v>
      </c>
      <c r="D19" s="271"/>
      <c r="E19" s="272">
        <v>80205079.770000011</v>
      </c>
      <c r="F19" s="230"/>
      <c r="G19" s="230"/>
    </row>
    <row r="20" spans="2:8" ht="15.75" x14ac:dyDescent="0.2">
      <c r="B20" s="5" t="s">
        <v>6</v>
      </c>
      <c r="C20" s="274">
        <f>SUM(C19:C19)</f>
        <v>66075722.139999971</v>
      </c>
      <c r="D20" s="275"/>
      <c r="E20" s="274">
        <f>SUM(E19:E19)</f>
        <v>80205079.770000011</v>
      </c>
      <c r="F20" s="230"/>
    </row>
    <row r="21" spans="2:8" ht="9" customHeight="1" x14ac:dyDescent="0.2">
      <c r="B21" s="5"/>
      <c r="C21" s="274"/>
      <c r="D21" s="275"/>
      <c r="E21" s="274"/>
      <c r="F21" s="230"/>
    </row>
    <row r="22" spans="2:8" ht="16.5" thickBot="1" x14ac:dyDescent="0.25">
      <c r="B22" s="5" t="s">
        <v>7</v>
      </c>
      <c r="C22" s="278">
        <f>+C16+C20</f>
        <v>85860569.881305769</v>
      </c>
      <c r="D22" s="275"/>
      <c r="E22" s="278">
        <f>+E16+E20</f>
        <v>102690282.04000001</v>
      </c>
      <c r="F22" s="230"/>
    </row>
    <row r="23" spans="2:8" ht="16.5" thickTop="1" x14ac:dyDescent="0.2">
      <c r="B23" s="298" t="s">
        <v>100</v>
      </c>
      <c r="C23" s="279"/>
      <c r="D23" s="280"/>
      <c r="E23" s="279"/>
      <c r="F23" s="230"/>
    </row>
    <row r="24" spans="2:8" ht="15.75" x14ac:dyDescent="0.2">
      <c r="B24" s="298"/>
      <c r="C24" s="281"/>
      <c r="D24" s="282"/>
      <c r="E24" s="281"/>
      <c r="F24" s="230"/>
    </row>
    <row r="25" spans="2:8" ht="15.75" x14ac:dyDescent="0.2">
      <c r="B25" s="270" t="s">
        <v>400</v>
      </c>
      <c r="C25" s="283">
        <f>'NOTAS 7 AL 48 '!F132</f>
        <v>15619226.560000001</v>
      </c>
      <c r="D25" s="271"/>
      <c r="E25" s="283">
        <f>'NOTAS 7 AL 48 '!H132</f>
        <v>15761447.92</v>
      </c>
      <c r="F25" s="230"/>
      <c r="G25" s="230"/>
      <c r="H25" s="230"/>
    </row>
    <row r="26" spans="2:8" ht="15.75" x14ac:dyDescent="0.2">
      <c r="B26" s="270" t="s">
        <v>401</v>
      </c>
      <c r="C26" s="283">
        <f>'NOTAS 7 AL 48 '!F139</f>
        <v>8999.2800000000007</v>
      </c>
      <c r="D26" s="271"/>
      <c r="E26" s="283">
        <f>'NOTAS 7 AL 48 '!H139</f>
        <v>190692.96</v>
      </c>
      <c r="F26" s="230"/>
      <c r="G26" s="230"/>
      <c r="H26" s="230"/>
    </row>
    <row r="27" spans="2:8" ht="15.75" x14ac:dyDescent="0.2">
      <c r="B27" s="270" t="s">
        <v>402</v>
      </c>
      <c r="C27" s="284">
        <f>'NOTAS 7 AL 48 '!F149</f>
        <v>0</v>
      </c>
      <c r="D27" s="271"/>
      <c r="E27" s="284">
        <f>'NOTAS 7 AL 48 '!H149</f>
        <v>8068573.9700000007</v>
      </c>
      <c r="F27" s="230"/>
      <c r="H27" s="230"/>
    </row>
    <row r="28" spans="2:8" ht="15.75" x14ac:dyDescent="0.2">
      <c r="B28" s="5" t="s">
        <v>8</v>
      </c>
      <c r="C28" s="285">
        <f>SUM(C25:C27)</f>
        <v>15628225.84</v>
      </c>
      <c r="D28" s="275"/>
      <c r="E28" s="285">
        <f>SUM(E25:E27)</f>
        <v>24020714.850000001</v>
      </c>
      <c r="F28" s="230"/>
    </row>
    <row r="29" spans="2:8" ht="8.25" customHeight="1" x14ac:dyDescent="0.2">
      <c r="B29" s="5"/>
      <c r="C29" s="285"/>
      <c r="D29" s="275"/>
      <c r="E29" s="285"/>
      <c r="F29" s="230"/>
    </row>
    <row r="30" spans="2:8" ht="15.75" hidden="1" x14ac:dyDescent="0.2">
      <c r="B30" s="5" t="s">
        <v>9</v>
      </c>
      <c r="C30" s="279"/>
      <c r="D30" s="280"/>
      <c r="E30" s="279"/>
      <c r="F30" s="230"/>
    </row>
    <row r="31" spans="2:8" ht="15.75" hidden="1" x14ac:dyDescent="0.2">
      <c r="B31" s="270" t="s">
        <v>10</v>
      </c>
      <c r="C31" s="286">
        <v>0</v>
      </c>
      <c r="D31" s="271"/>
      <c r="E31" s="286">
        <v>0</v>
      </c>
      <c r="F31" s="230"/>
    </row>
    <row r="32" spans="2:8" ht="15.75" hidden="1" x14ac:dyDescent="0.2">
      <c r="B32" s="270" t="s">
        <v>11</v>
      </c>
      <c r="C32" s="286">
        <v>0</v>
      </c>
      <c r="D32" s="271"/>
      <c r="E32" s="286">
        <v>0</v>
      </c>
      <c r="F32" s="230"/>
    </row>
    <row r="33" spans="2:7" ht="15.75" hidden="1" x14ac:dyDescent="0.2">
      <c r="B33" s="270" t="s">
        <v>22</v>
      </c>
      <c r="C33" s="286">
        <v>0</v>
      </c>
      <c r="D33" s="271"/>
      <c r="E33" s="286">
        <v>0</v>
      </c>
      <c r="F33" s="230"/>
    </row>
    <row r="34" spans="2:7" ht="15.75" hidden="1" x14ac:dyDescent="0.2">
      <c r="B34" s="270" t="s">
        <v>23</v>
      </c>
      <c r="C34" s="286">
        <v>0</v>
      </c>
      <c r="D34" s="271"/>
      <c r="E34" s="286">
        <v>0</v>
      </c>
      <c r="F34" s="230"/>
    </row>
    <row r="35" spans="2:7" ht="15.75" hidden="1" x14ac:dyDescent="0.2">
      <c r="B35" s="270" t="s">
        <v>24</v>
      </c>
      <c r="C35" s="286">
        <v>0</v>
      </c>
      <c r="D35" s="271"/>
      <c r="E35" s="286">
        <v>0</v>
      </c>
      <c r="F35" s="230"/>
    </row>
    <row r="36" spans="2:7" ht="15.75" hidden="1" x14ac:dyDescent="0.2">
      <c r="B36" s="270" t="s">
        <v>25</v>
      </c>
      <c r="C36" s="284">
        <v>0</v>
      </c>
      <c r="D36" s="271"/>
      <c r="E36" s="284">
        <v>0</v>
      </c>
      <c r="F36" s="230"/>
    </row>
    <row r="37" spans="2:7" ht="15.75" hidden="1" x14ac:dyDescent="0.2">
      <c r="B37" s="5" t="s">
        <v>12</v>
      </c>
      <c r="C37" s="285">
        <f>SUM(C31:C36)</f>
        <v>0</v>
      </c>
      <c r="D37" s="275"/>
      <c r="E37" s="285">
        <f>SUM(E31:E36)</f>
        <v>0</v>
      </c>
      <c r="F37" s="230"/>
    </row>
    <row r="38" spans="2:7" ht="10.5" customHeight="1" x14ac:dyDescent="0.2">
      <c r="B38" s="5"/>
      <c r="C38" s="285"/>
      <c r="D38" s="275"/>
      <c r="E38" s="285"/>
      <c r="F38" s="230"/>
    </row>
    <row r="39" spans="2:7" ht="15.75" x14ac:dyDescent="0.2">
      <c r="B39" s="5" t="s">
        <v>13</v>
      </c>
      <c r="C39" s="287">
        <f>+C28+C37</f>
        <v>15628225.84</v>
      </c>
      <c r="D39" s="275"/>
      <c r="E39" s="287">
        <f>+E28+E37</f>
        <v>24020714.850000001</v>
      </c>
      <c r="F39" s="230"/>
      <c r="G39" s="230"/>
    </row>
    <row r="40" spans="2:7" ht="9" customHeight="1" x14ac:dyDescent="0.2">
      <c r="B40" s="5"/>
      <c r="C40" s="285"/>
      <c r="D40" s="275"/>
      <c r="E40" s="285"/>
    </row>
    <row r="41" spans="2:7" ht="15.75" x14ac:dyDescent="0.2">
      <c r="B41" s="5" t="s">
        <v>403</v>
      </c>
      <c r="C41" s="279"/>
      <c r="D41" s="280"/>
      <c r="E41" s="279"/>
    </row>
    <row r="42" spans="2:7" ht="15.75" x14ac:dyDescent="0.2">
      <c r="B42" s="270" t="s">
        <v>14</v>
      </c>
      <c r="C42" s="288">
        <f>'NOTAS 7 AL 48 '!F160</f>
        <v>51695326</v>
      </c>
      <c r="D42" s="289"/>
      <c r="E42" s="288">
        <f>'NOTAS 7 AL 48 '!H160</f>
        <v>51695326</v>
      </c>
    </row>
    <row r="43" spans="2:7" ht="15.75" x14ac:dyDescent="0.2">
      <c r="B43" s="270" t="s">
        <v>98</v>
      </c>
      <c r="C43" s="288">
        <f>'NOTAS 7 AL 48 '!F161</f>
        <v>-8419224.588694185</v>
      </c>
      <c r="D43" s="271"/>
      <c r="E43" s="286">
        <f>'NOTAS 7 AL 48 '!H161</f>
        <v>-10702547.880000001</v>
      </c>
    </row>
    <row r="44" spans="2:7" ht="15.75" x14ac:dyDescent="0.2">
      <c r="B44" s="270" t="s">
        <v>97</v>
      </c>
      <c r="C44" s="284">
        <f>E43+E44</f>
        <v>26974241.189999998</v>
      </c>
      <c r="D44" s="271"/>
      <c r="E44" s="284">
        <f>'NOTAS 7 AL 48 '!H162+'NOTAS 7 AL 48 '!H163</f>
        <v>37676789.07</v>
      </c>
      <c r="F44" s="230"/>
    </row>
    <row r="45" spans="2:7" ht="15.75" hidden="1" x14ac:dyDescent="0.2">
      <c r="B45" s="270" t="s">
        <v>15</v>
      </c>
      <c r="C45" s="284">
        <v>0</v>
      </c>
      <c r="D45" s="271"/>
      <c r="E45" s="284">
        <v>0</v>
      </c>
    </row>
    <row r="46" spans="2:7" s="28" customFormat="1" ht="15.75" x14ac:dyDescent="0.2">
      <c r="B46" s="290" t="s">
        <v>99</v>
      </c>
      <c r="C46" s="285">
        <f>SUM(C42:C45)</f>
        <v>70250342.601305813</v>
      </c>
      <c r="D46" s="275"/>
      <c r="E46" s="285">
        <f>SUM(E42:E45)</f>
        <v>78669567.189999998</v>
      </c>
      <c r="F46" s="231"/>
    </row>
    <row r="47" spans="2:7" ht="15.75" x14ac:dyDescent="0.2">
      <c r="B47" s="5" t="s">
        <v>108</v>
      </c>
      <c r="C47" s="287">
        <f>SUM(C39+C46)</f>
        <v>85878568.441305816</v>
      </c>
      <c r="D47" s="275"/>
      <c r="E47" s="287">
        <f>E39+E46</f>
        <v>102690282.03999999</v>
      </c>
      <c r="F47" s="230"/>
    </row>
    <row r="48" spans="2:7" ht="15.75" x14ac:dyDescent="0.25">
      <c r="B48" s="291"/>
      <c r="C48" s="292"/>
      <c r="D48" s="293"/>
      <c r="E48" s="292"/>
      <c r="F48" s="230"/>
    </row>
    <row r="49" spans="2:6" ht="15.75" x14ac:dyDescent="0.25">
      <c r="B49" s="7"/>
      <c r="C49" s="31"/>
      <c r="D49" s="293"/>
      <c r="E49" s="31"/>
      <c r="F49" s="230"/>
    </row>
    <row r="50" spans="2:6" ht="15.75" x14ac:dyDescent="0.25">
      <c r="B50" s="19" t="s">
        <v>282</v>
      </c>
      <c r="C50" s="31"/>
      <c r="D50" s="293"/>
      <c r="E50" s="31"/>
    </row>
    <row r="51" spans="2:6" ht="15.75" x14ac:dyDescent="0.25">
      <c r="B51" s="7"/>
      <c r="C51" s="31"/>
      <c r="D51" s="293"/>
      <c r="E51" s="31"/>
    </row>
    <row r="52" spans="2:6" ht="15.75" x14ac:dyDescent="0.25">
      <c r="B52" s="7"/>
      <c r="C52" s="7"/>
      <c r="D52" s="294"/>
      <c r="E52" s="7"/>
    </row>
    <row r="53" spans="2:6" ht="15.75" x14ac:dyDescent="0.25">
      <c r="B53" s="268" t="s">
        <v>101</v>
      </c>
      <c r="C53" s="25"/>
      <c r="D53" s="25"/>
      <c r="E53" s="25"/>
    </row>
    <row r="54" spans="2:6" ht="15.75" x14ac:dyDescent="0.25">
      <c r="B54" s="268" t="s">
        <v>102</v>
      </c>
      <c r="C54" s="297" t="s">
        <v>103</v>
      </c>
      <c r="D54" s="297"/>
      <c r="E54" s="297"/>
    </row>
    <row r="55" spans="2:6" ht="15.75" x14ac:dyDescent="0.25">
      <c r="B55" s="7"/>
      <c r="C55" s="7"/>
      <c r="D55" s="294"/>
      <c r="E55" s="7"/>
    </row>
    <row r="56" spans="2:6" ht="15.75" x14ac:dyDescent="0.25">
      <c r="B56" s="268" t="s">
        <v>105</v>
      </c>
      <c r="C56" s="25"/>
      <c r="D56" s="25"/>
      <c r="E56" s="25"/>
    </row>
    <row r="57" spans="2:6" ht="15.75" x14ac:dyDescent="0.25">
      <c r="B57" s="268" t="s">
        <v>95</v>
      </c>
      <c r="C57" s="297" t="s">
        <v>104</v>
      </c>
      <c r="D57" s="297"/>
      <c r="E57" s="297"/>
    </row>
  </sheetData>
  <mergeCells count="7">
    <mergeCell ref="C57:E57"/>
    <mergeCell ref="C54:E54"/>
    <mergeCell ref="B23:B24"/>
    <mergeCell ref="B1:E1"/>
    <mergeCell ref="B2:E2"/>
    <mergeCell ref="B3:E3"/>
    <mergeCell ref="B4:E4"/>
  </mergeCells>
  <pageMargins left="1.1023622047244095" right="0.70866141732283472" top="1.5354330708661419" bottom="0.74803149606299213" header="0.31496062992125984" footer="0.31496062992125984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0" workbookViewId="0">
      <selection activeCell="A4" sqref="A4:F4"/>
    </sheetView>
  </sheetViews>
  <sheetFormatPr baseColWidth="10" defaultColWidth="11.42578125" defaultRowHeight="15.75" x14ac:dyDescent="0.25"/>
  <cols>
    <col min="1" max="1" width="43.42578125" style="7" customWidth="1"/>
    <col min="2" max="2" width="19.7109375" style="7" customWidth="1"/>
    <col min="3" max="3" width="18.42578125" style="7" customWidth="1"/>
    <col min="4" max="4" width="16.42578125" style="7" customWidth="1"/>
    <col min="5" max="5" width="17.140625" style="7" customWidth="1"/>
    <col min="6" max="6" width="20.42578125" style="7" customWidth="1"/>
    <col min="7" max="7" width="16.85546875" style="7" bestFit="1" customWidth="1"/>
    <col min="8" max="8" width="14.85546875" style="7" bestFit="1" customWidth="1"/>
    <col min="9" max="9" width="14.140625" style="7" bestFit="1" customWidth="1"/>
    <col min="10" max="16384" width="11.42578125" style="7"/>
  </cols>
  <sheetData>
    <row r="1" spans="1:7" x14ac:dyDescent="0.25">
      <c r="A1" s="14"/>
    </row>
    <row r="2" spans="1:7" x14ac:dyDescent="0.25">
      <c r="A2" s="14"/>
    </row>
    <row r="3" spans="1:7" x14ac:dyDescent="0.25">
      <c r="A3" s="14"/>
    </row>
    <row r="4" spans="1:7" ht="20.25" x14ac:dyDescent="0.25">
      <c r="A4" s="302" t="s">
        <v>281</v>
      </c>
      <c r="B4" s="302"/>
      <c r="C4" s="302"/>
      <c r="D4" s="302"/>
      <c r="E4" s="302"/>
      <c r="F4" s="302"/>
    </row>
    <row r="5" spans="1:7" ht="20.25" x14ac:dyDescent="0.25">
      <c r="A5" s="302" t="s">
        <v>39</v>
      </c>
      <c r="B5" s="302"/>
      <c r="C5" s="302"/>
      <c r="D5" s="302"/>
      <c r="E5" s="302"/>
      <c r="F5" s="302"/>
    </row>
    <row r="6" spans="1:7" ht="20.25" x14ac:dyDescent="0.25">
      <c r="A6" s="302" t="s">
        <v>333</v>
      </c>
      <c r="B6" s="302"/>
      <c r="C6" s="302"/>
      <c r="D6" s="302"/>
      <c r="E6" s="302"/>
      <c r="F6" s="302"/>
    </row>
    <row r="7" spans="1:7" ht="20.25" x14ac:dyDescent="0.25">
      <c r="A7" s="302" t="s">
        <v>40</v>
      </c>
      <c r="B7" s="302"/>
      <c r="C7" s="302"/>
      <c r="D7" s="302"/>
      <c r="E7" s="302"/>
      <c r="F7" s="302"/>
    </row>
    <row r="8" spans="1:7" ht="16.5" thickBot="1" x14ac:dyDescent="0.3">
      <c r="A8" s="1"/>
      <c r="B8" s="1"/>
      <c r="C8" s="2"/>
      <c r="D8" s="1"/>
      <c r="E8" s="1"/>
      <c r="F8" s="3"/>
    </row>
    <row r="9" spans="1:7" ht="58.5" customHeight="1" thickBot="1" x14ac:dyDescent="0.3">
      <c r="A9" s="71"/>
      <c r="B9" s="72" t="s">
        <v>41</v>
      </c>
      <c r="C9" s="72" t="s">
        <v>42</v>
      </c>
      <c r="D9" s="72" t="s">
        <v>43</v>
      </c>
      <c r="E9" s="72" t="s">
        <v>44</v>
      </c>
      <c r="F9" s="65" t="s">
        <v>48</v>
      </c>
    </row>
    <row r="10" spans="1:7" x14ac:dyDescent="0.25">
      <c r="A10" s="76"/>
      <c r="B10" s="77"/>
      <c r="C10" s="80"/>
      <c r="D10" s="86"/>
      <c r="E10" s="90"/>
      <c r="F10" s="66"/>
    </row>
    <row r="11" spans="1:7" x14ac:dyDescent="0.25">
      <c r="A11" s="47" t="s">
        <v>347</v>
      </c>
      <c r="B11" s="92">
        <v>51695326</v>
      </c>
      <c r="C11" s="81"/>
      <c r="D11" s="20"/>
      <c r="E11" s="67">
        <v>37695935</v>
      </c>
      <c r="F11" s="67">
        <f t="shared" ref="F11:F22" si="0">B11+C11+D11+E11</f>
        <v>89391261</v>
      </c>
      <c r="G11" s="45"/>
    </row>
    <row r="12" spans="1:7" x14ac:dyDescent="0.25">
      <c r="A12" s="48" t="s">
        <v>68</v>
      </c>
      <c r="B12" s="52"/>
      <c r="C12" s="82"/>
      <c r="D12" s="23"/>
      <c r="E12" s="91"/>
      <c r="F12" s="68">
        <f t="shared" si="0"/>
        <v>0</v>
      </c>
    </row>
    <row r="13" spans="1:7" x14ac:dyDescent="0.25">
      <c r="A13" s="48" t="s">
        <v>69</v>
      </c>
      <c r="B13" s="52"/>
      <c r="C13" s="83"/>
      <c r="D13" s="23"/>
      <c r="E13" s="82"/>
      <c r="F13" s="68">
        <f t="shared" si="0"/>
        <v>0</v>
      </c>
    </row>
    <row r="14" spans="1:7" x14ac:dyDescent="0.25">
      <c r="A14" s="49" t="s">
        <v>45</v>
      </c>
      <c r="B14" s="52"/>
      <c r="C14" s="83"/>
      <c r="D14" s="23"/>
      <c r="E14" s="95">
        <v>-19145.93</v>
      </c>
      <c r="F14" s="68">
        <f>B14+C14+D14+E14</f>
        <v>-19145.93</v>
      </c>
      <c r="G14" s="45"/>
    </row>
    <row r="15" spans="1:7" x14ac:dyDescent="0.25">
      <c r="A15" s="49" t="s">
        <v>46</v>
      </c>
      <c r="B15" s="53"/>
      <c r="C15" s="84"/>
      <c r="D15" s="87"/>
      <c r="E15" s="94">
        <f>'Est. de Rendimiento Fin'!D22</f>
        <v>-10702547.880000025</v>
      </c>
      <c r="F15" s="68">
        <f t="shared" si="0"/>
        <v>-10702547.880000025</v>
      </c>
    </row>
    <row r="16" spans="1:7" s="18" customFormat="1" x14ac:dyDescent="0.25">
      <c r="A16" s="47" t="s">
        <v>154</v>
      </c>
      <c r="B16" s="54">
        <f>SUM(B11:B15)</f>
        <v>51695326</v>
      </c>
      <c r="C16" s="81"/>
      <c r="D16" s="20"/>
      <c r="E16" s="69">
        <f>SUM(E11:E15)</f>
        <v>26974241.189999975</v>
      </c>
      <c r="F16" s="67">
        <f t="shared" si="0"/>
        <v>78669567.189999968</v>
      </c>
      <c r="G16" s="46"/>
    </row>
    <row r="17" spans="1:9" x14ac:dyDescent="0.25">
      <c r="A17" s="49" t="s">
        <v>68</v>
      </c>
      <c r="B17" s="55"/>
      <c r="C17" s="82"/>
      <c r="D17" s="88"/>
      <c r="E17" s="70"/>
      <c r="F17" s="67">
        <f t="shared" si="0"/>
        <v>0</v>
      </c>
    </row>
    <row r="18" spans="1:9" x14ac:dyDescent="0.25">
      <c r="A18" s="49" t="s">
        <v>69</v>
      </c>
      <c r="B18" s="55"/>
      <c r="C18" s="82"/>
      <c r="D18" s="88"/>
      <c r="E18" s="70"/>
      <c r="F18" s="67">
        <f t="shared" si="0"/>
        <v>0</v>
      </c>
      <c r="G18" s="45"/>
    </row>
    <row r="19" spans="1:9" ht="31.5" x14ac:dyDescent="0.25">
      <c r="A19" s="49" t="s">
        <v>47</v>
      </c>
      <c r="B19" s="55"/>
      <c r="C19" s="82"/>
      <c r="D19" s="88"/>
      <c r="E19" s="70"/>
      <c r="F19" s="67">
        <f t="shared" si="0"/>
        <v>0</v>
      </c>
      <c r="G19" s="45"/>
    </row>
    <row r="20" spans="1:9" x14ac:dyDescent="0.25">
      <c r="A20" s="49" t="s">
        <v>45</v>
      </c>
      <c r="B20" s="55"/>
      <c r="C20" s="82"/>
      <c r="D20" s="88"/>
      <c r="E20" s="70"/>
      <c r="F20" s="67">
        <f t="shared" si="0"/>
        <v>0</v>
      </c>
      <c r="G20" s="45"/>
    </row>
    <row r="21" spans="1:9" ht="16.5" thickBot="1" x14ac:dyDescent="0.3">
      <c r="A21" s="78" t="s">
        <v>46</v>
      </c>
      <c r="B21" s="79"/>
      <c r="C21" s="85"/>
      <c r="D21" s="89"/>
      <c r="E21" s="93">
        <f>'Est. de Rendimiento Fin'!B22</f>
        <v>-8419224.588694185</v>
      </c>
      <c r="F21" s="67">
        <f t="shared" si="0"/>
        <v>-8419224.588694185</v>
      </c>
      <c r="G21" s="45"/>
      <c r="H21" s="31"/>
    </row>
    <row r="22" spans="1:9" ht="16.5" thickBot="1" x14ac:dyDescent="0.3">
      <c r="A22" s="50" t="s">
        <v>365</v>
      </c>
      <c r="B22" s="73">
        <f>+B16</f>
        <v>51695326</v>
      </c>
      <c r="C22" s="74"/>
      <c r="D22" s="74"/>
      <c r="E22" s="75">
        <f>+E16+E20+E21</f>
        <v>18555016.60130579</v>
      </c>
      <c r="F22" s="265">
        <f t="shared" si="0"/>
        <v>70250342.601305783</v>
      </c>
      <c r="G22" s="45"/>
      <c r="H22" s="31"/>
    </row>
    <row r="23" spans="1:9" x14ac:dyDescent="0.25">
      <c r="A23" s="5"/>
      <c r="B23" s="16"/>
      <c r="C23" s="16"/>
      <c r="D23" s="16"/>
      <c r="E23" s="39"/>
      <c r="F23" s="39"/>
      <c r="I23" s="31"/>
    </row>
    <row r="24" spans="1:9" hidden="1" x14ac:dyDescent="0.25">
      <c r="A24" s="5"/>
      <c r="B24" s="16"/>
      <c r="C24" s="16"/>
      <c r="D24" s="16"/>
      <c r="E24" s="39"/>
      <c r="F24" s="39"/>
      <c r="I24" s="31"/>
    </row>
    <row r="25" spans="1:9" x14ac:dyDescent="0.25">
      <c r="A25" s="5"/>
      <c r="B25" s="16"/>
      <c r="C25" s="16"/>
      <c r="D25" s="16"/>
      <c r="E25" s="39"/>
      <c r="F25" s="39"/>
      <c r="I25" s="31"/>
    </row>
    <row r="26" spans="1:9" x14ac:dyDescent="0.25">
      <c r="A26" s="19" t="s">
        <v>282</v>
      </c>
      <c r="H26" s="31"/>
    </row>
    <row r="27" spans="1:9" x14ac:dyDescent="0.25">
      <c r="A27" s="19"/>
    </row>
    <row r="28" spans="1:9" x14ac:dyDescent="0.25">
      <c r="A28" s="25"/>
      <c r="D28" s="25"/>
      <c r="E28" s="25"/>
      <c r="F28" s="25"/>
    </row>
    <row r="29" spans="1:9" x14ac:dyDescent="0.25">
      <c r="A29" s="24" t="s">
        <v>280</v>
      </c>
      <c r="D29" s="297" t="s">
        <v>103</v>
      </c>
      <c r="E29" s="297"/>
      <c r="F29" s="297"/>
    </row>
    <row r="31" spans="1:9" x14ac:dyDescent="0.25">
      <c r="A31" s="25"/>
      <c r="D31" s="25"/>
      <c r="E31" s="25"/>
      <c r="F31" s="25"/>
    </row>
    <row r="32" spans="1:9" x14ac:dyDescent="0.25">
      <c r="A32" s="24" t="s">
        <v>95</v>
      </c>
      <c r="D32" s="297" t="s">
        <v>104</v>
      </c>
      <c r="E32" s="297"/>
      <c r="F32" s="297"/>
    </row>
  </sheetData>
  <mergeCells count="6">
    <mergeCell ref="D32:F32"/>
    <mergeCell ref="A4:F4"/>
    <mergeCell ref="A5:F5"/>
    <mergeCell ref="A6:F6"/>
    <mergeCell ref="A7:F7"/>
    <mergeCell ref="D29:F2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76"/>
  <sheetViews>
    <sheetView topLeftCell="A27" zoomScaleNormal="100" workbookViewId="0">
      <selection activeCell="B63" sqref="B63"/>
    </sheetView>
  </sheetViews>
  <sheetFormatPr baseColWidth="10" defaultColWidth="11.42578125" defaultRowHeight="15.75" x14ac:dyDescent="0.25"/>
  <cols>
    <col min="1" max="1" width="58.85546875" style="7" customWidth="1"/>
    <col min="2" max="2" width="21.42578125" style="11" customWidth="1"/>
    <col min="3" max="3" width="2.28515625" style="11" customWidth="1"/>
    <col min="4" max="4" width="22.42578125" style="11" customWidth="1"/>
    <col min="5" max="5" width="40.5703125" style="7" customWidth="1"/>
    <col min="6" max="6" width="54" style="7" customWidth="1"/>
    <col min="7" max="7" width="2.28515625" style="7" customWidth="1"/>
    <col min="8" max="8" width="17.85546875" style="7" customWidth="1"/>
    <col min="9" max="9" width="14.42578125" style="7" bestFit="1" customWidth="1"/>
    <col min="10" max="10" width="15.5703125" style="7" bestFit="1" customWidth="1"/>
    <col min="11" max="11" width="13.7109375" style="7" bestFit="1" customWidth="1"/>
    <col min="12" max="16384" width="11.42578125" style="7"/>
  </cols>
  <sheetData>
    <row r="2" spans="1:6" ht="80.25" customHeight="1" x14ac:dyDescent="0.25"/>
    <row r="3" spans="1:6" x14ac:dyDescent="0.25">
      <c r="A3" s="300" t="s">
        <v>281</v>
      </c>
      <c r="B3" s="300"/>
      <c r="C3" s="300"/>
      <c r="D3" s="300"/>
    </row>
    <row r="4" spans="1:6" x14ac:dyDescent="0.25">
      <c r="A4" s="300" t="s">
        <v>49</v>
      </c>
      <c r="B4" s="300"/>
      <c r="C4" s="300"/>
      <c r="D4" s="300"/>
    </row>
    <row r="5" spans="1:6" x14ac:dyDescent="0.25">
      <c r="A5" s="300" t="s">
        <v>333</v>
      </c>
      <c r="B5" s="300"/>
      <c r="C5" s="300"/>
      <c r="D5" s="300"/>
    </row>
    <row r="6" spans="1:6" x14ac:dyDescent="0.25">
      <c r="A6" s="300" t="s">
        <v>40</v>
      </c>
      <c r="B6" s="300"/>
      <c r="C6" s="300"/>
      <c r="D6" s="300"/>
    </row>
    <row r="7" spans="1:6" x14ac:dyDescent="0.25">
      <c r="A7" s="14"/>
    </row>
    <row r="8" spans="1:6" x14ac:dyDescent="0.25">
      <c r="A8" s="21" t="s">
        <v>50</v>
      </c>
    </row>
    <row r="9" spans="1:6" x14ac:dyDescent="0.25">
      <c r="A9" s="8"/>
    </row>
    <row r="10" spans="1:6" x14ac:dyDescent="0.25">
      <c r="B10" s="60" t="s">
        <v>331</v>
      </c>
      <c r="C10" s="60"/>
      <c r="D10" s="60" t="s">
        <v>332</v>
      </c>
    </row>
    <row r="11" spans="1:6" x14ac:dyDescent="0.25">
      <c r="B11" s="37"/>
      <c r="C11" s="37"/>
      <c r="D11" s="37"/>
    </row>
    <row r="12" spans="1:6" hidden="1" x14ac:dyDescent="0.25">
      <c r="A12" s="4" t="s">
        <v>51</v>
      </c>
      <c r="B12" s="37">
        <v>0</v>
      </c>
      <c r="C12" s="37"/>
      <c r="D12" s="37">
        <v>0</v>
      </c>
    </row>
    <row r="13" spans="1:6" hidden="1" x14ac:dyDescent="0.25">
      <c r="A13" s="4" t="s">
        <v>52</v>
      </c>
      <c r="B13" s="37">
        <v>0</v>
      </c>
      <c r="C13" s="37"/>
      <c r="D13" s="37">
        <v>0</v>
      </c>
    </row>
    <row r="14" spans="1:6" x14ac:dyDescent="0.25">
      <c r="A14" s="62" t="s">
        <v>70</v>
      </c>
      <c r="B14" s="63">
        <f>+'NOTAS 7 AL 48 '!F174</f>
        <v>20350000</v>
      </c>
      <c r="C14" s="37"/>
      <c r="D14" s="37">
        <f>'NOTAS 7 AL 48 '!H173</f>
        <v>10175000</v>
      </c>
      <c r="E14" s="45"/>
    </row>
    <row r="15" spans="1:6" x14ac:dyDescent="0.25">
      <c r="A15" s="62" t="s">
        <v>71</v>
      </c>
      <c r="B15" s="63">
        <f>+'NOTAS 7 AL 48 '!F187</f>
        <v>196534074.69999999</v>
      </c>
      <c r="C15" s="37"/>
      <c r="D15" s="37">
        <f>'NOTAS 7 AL 48 '!H187</f>
        <v>215722937.98999998</v>
      </c>
      <c r="E15" s="37"/>
      <c r="F15" s="45"/>
    </row>
    <row r="16" spans="1:6" hidden="1" x14ac:dyDescent="0.25">
      <c r="A16" s="62" t="s">
        <v>72</v>
      </c>
      <c r="B16" s="63">
        <v>0</v>
      </c>
      <c r="C16" s="37"/>
      <c r="D16" s="37">
        <v>0</v>
      </c>
      <c r="E16" s="45"/>
    </row>
    <row r="17" spans="1:8" hidden="1" x14ac:dyDescent="0.25">
      <c r="A17" s="62" t="s">
        <v>74</v>
      </c>
      <c r="B17" s="63">
        <v>0</v>
      </c>
      <c r="C17" s="37"/>
      <c r="D17" s="37">
        <v>0</v>
      </c>
      <c r="E17" s="45"/>
      <c r="F17" s="45"/>
    </row>
    <row r="18" spans="1:8" hidden="1" x14ac:dyDescent="0.25">
      <c r="A18" s="62" t="s">
        <v>73</v>
      </c>
      <c r="B18" s="63">
        <v>0</v>
      </c>
      <c r="C18" s="37"/>
      <c r="D18" s="37">
        <v>0</v>
      </c>
      <c r="E18" s="45"/>
      <c r="F18" s="45"/>
      <c r="G18" s="45"/>
    </row>
    <row r="19" spans="1:8" x14ac:dyDescent="0.25">
      <c r="A19" s="62" t="s">
        <v>53</v>
      </c>
      <c r="B19" s="63">
        <f>'NOTAS 7 AL 48 '!F198</f>
        <v>721425.35</v>
      </c>
      <c r="C19" s="37"/>
      <c r="D19" s="37">
        <f>'NOTAS 7 AL 48 '!H198</f>
        <v>1041000</v>
      </c>
      <c r="E19" s="45"/>
      <c r="F19" s="58"/>
      <c r="G19" s="58"/>
      <c r="H19" s="58"/>
    </row>
    <row r="20" spans="1:8" ht="24" customHeight="1" x14ac:dyDescent="0.25">
      <c r="A20" s="62" t="s">
        <v>304</v>
      </c>
      <c r="B20" s="63">
        <f>-'NOTAS 7 AL 48 '!F234</f>
        <v>-671370</v>
      </c>
      <c r="C20" s="37"/>
      <c r="D20" s="37">
        <f>-'NOTAS 7 AL 48 '!H233</f>
        <v>-65000</v>
      </c>
      <c r="E20" s="45"/>
      <c r="F20" s="11"/>
      <c r="H20" s="45"/>
    </row>
    <row r="21" spans="1:8" x14ac:dyDescent="0.25">
      <c r="A21" s="4" t="s">
        <v>75</v>
      </c>
      <c r="B21" s="37">
        <f>-'NOTAS 7 AL 48 '!F223+'NOTAS 7 AL 48 '!F222</f>
        <v>-116520235.95999995</v>
      </c>
      <c r="C21" s="37"/>
      <c r="D21" s="37">
        <v>-135218193.30000001</v>
      </c>
      <c r="E21" s="45"/>
      <c r="H21" s="45"/>
    </row>
    <row r="22" spans="1:8" x14ac:dyDescent="0.25">
      <c r="A22" s="4" t="s">
        <v>77</v>
      </c>
      <c r="B22" s="37">
        <f>-'NOTAS 7 AL 48 '!F222</f>
        <v>-14133787.99</v>
      </c>
      <c r="C22" s="37"/>
      <c r="D22" s="37">
        <v>-13654399.560000001</v>
      </c>
      <c r="F22" s="59"/>
      <c r="H22" s="45"/>
    </row>
    <row r="23" spans="1:8" hidden="1" x14ac:dyDescent="0.25">
      <c r="A23" s="4" t="s">
        <v>76</v>
      </c>
      <c r="B23" s="37">
        <v>0</v>
      </c>
      <c r="C23" s="37"/>
      <c r="D23" s="37">
        <v>0</v>
      </c>
      <c r="F23" s="45"/>
    </row>
    <row r="24" spans="1:8" x14ac:dyDescent="0.25">
      <c r="A24" s="4" t="s">
        <v>54</v>
      </c>
      <c r="B24" s="37">
        <f>-'NOTAS 7 AL 48 '!F289</f>
        <v>-29028052.03225356</v>
      </c>
      <c r="C24" s="37"/>
      <c r="D24" s="37">
        <f>-'NOTAS 7 AL 48 '!H289</f>
        <v>-29192364.789999995</v>
      </c>
      <c r="E24" s="45"/>
    </row>
    <row r="25" spans="1:8" hidden="1" x14ac:dyDescent="0.25">
      <c r="A25" s="4" t="s">
        <v>79</v>
      </c>
      <c r="B25" s="37">
        <v>0</v>
      </c>
      <c r="C25" s="37"/>
      <c r="D25" s="37">
        <v>0</v>
      </c>
      <c r="F25" s="45"/>
    </row>
    <row r="26" spans="1:8" hidden="1" x14ac:dyDescent="0.25">
      <c r="A26" s="4" t="s">
        <v>78</v>
      </c>
      <c r="B26" s="37">
        <v>0</v>
      </c>
      <c r="C26" s="37"/>
      <c r="D26" s="37">
        <v>0</v>
      </c>
    </row>
    <row r="27" spans="1:8" x14ac:dyDescent="0.25">
      <c r="A27" s="4" t="s">
        <v>55</v>
      </c>
      <c r="B27" s="38">
        <f>-'NOTAS 7 AL 48 '!F341-149118.35</f>
        <v>-40421500.156440668</v>
      </c>
      <c r="C27" s="37"/>
      <c r="D27" s="38">
        <f>-'NOTAS 7 AL 48 '!H341</f>
        <v>-34971073.980000004</v>
      </c>
      <c r="E27" s="45"/>
    </row>
    <row r="28" spans="1:8" x14ac:dyDescent="0.25">
      <c r="A28" s="5" t="s">
        <v>56</v>
      </c>
      <c r="B28" s="43">
        <f>+B14+B15+B19+B20+B21+B22+B24+B27</f>
        <v>16830553.911305808</v>
      </c>
      <c r="C28" s="43"/>
      <c r="D28" s="43">
        <f>D14+D15+D19+D20+D21+D22+D24+D25+D26+D27</f>
        <v>13837906.35999997</v>
      </c>
      <c r="E28" s="45"/>
      <c r="H28" s="45"/>
    </row>
    <row r="29" spans="1:8" hidden="1" x14ac:dyDescent="0.25">
      <c r="A29" s="17"/>
      <c r="B29" s="44"/>
      <c r="C29" s="44"/>
      <c r="D29" s="44"/>
      <c r="E29" s="45"/>
    </row>
    <row r="30" spans="1:8" hidden="1" x14ac:dyDescent="0.25">
      <c r="A30" s="22" t="s">
        <v>57</v>
      </c>
      <c r="B30" s="41"/>
      <c r="C30" s="41"/>
      <c r="D30" s="41"/>
      <c r="E30" s="45"/>
    </row>
    <row r="31" spans="1:8" hidden="1" x14ac:dyDescent="0.25">
      <c r="A31" s="6" t="s">
        <v>58</v>
      </c>
      <c r="B31" s="37">
        <v>0</v>
      </c>
      <c r="C31" s="37"/>
      <c r="D31" s="37">
        <v>0</v>
      </c>
    </row>
    <row r="32" spans="1:8" hidden="1" x14ac:dyDescent="0.25">
      <c r="A32" s="4" t="s">
        <v>59</v>
      </c>
      <c r="B32" s="37">
        <v>0</v>
      </c>
      <c r="C32" s="37"/>
      <c r="D32" s="37">
        <v>0</v>
      </c>
    </row>
    <row r="33" spans="1:11" ht="31.5" hidden="1" x14ac:dyDescent="0.25">
      <c r="A33" s="4" t="s">
        <v>80</v>
      </c>
      <c r="B33" s="37">
        <v>0</v>
      </c>
      <c r="C33" s="37"/>
      <c r="D33" s="37">
        <v>0</v>
      </c>
    </row>
    <row r="34" spans="1:11" ht="31.5" hidden="1" x14ac:dyDescent="0.25">
      <c r="A34" s="4" t="s">
        <v>81</v>
      </c>
      <c r="B34" s="37">
        <v>0</v>
      </c>
      <c r="C34" s="37"/>
      <c r="D34" s="37">
        <v>0</v>
      </c>
    </row>
    <row r="35" spans="1:11" ht="31.5" hidden="1" x14ac:dyDescent="0.25">
      <c r="A35" s="4" t="s">
        <v>82</v>
      </c>
      <c r="B35" s="37">
        <v>0</v>
      </c>
      <c r="C35" s="37"/>
      <c r="D35" s="37">
        <v>0</v>
      </c>
    </row>
    <row r="36" spans="1:11" hidden="1" x14ac:dyDescent="0.25">
      <c r="A36" s="4" t="s">
        <v>53</v>
      </c>
      <c r="B36" s="37">
        <v>0</v>
      </c>
      <c r="C36" s="37"/>
      <c r="D36" s="37">
        <v>0</v>
      </c>
    </row>
    <row r="37" spans="1:11" x14ac:dyDescent="0.25">
      <c r="A37" s="4" t="s">
        <v>60</v>
      </c>
      <c r="B37" s="38">
        <f>-'NOTAS 7 AL 48 '!J79</f>
        <v>-11269539.21999998</v>
      </c>
      <c r="C37" s="37"/>
      <c r="D37" s="38">
        <v>-24867049.050000001</v>
      </c>
      <c r="E37" s="45"/>
    </row>
    <row r="38" spans="1:11" ht="31.5" hidden="1" x14ac:dyDescent="0.25">
      <c r="A38" s="4" t="s">
        <v>83</v>
      </c>
      <c r="B38" s="37">
        <v>0</v>
      </c>
      <c r="C38" s="37"/>
      <c r="D38" s="37">
        <v>0</v>
      </c>
    </row>
    <row r="39" spans="1:11" ht="31.5" hidden="1" x14ac:dyDescent="0.25">
      <c r="A39" s="4" t="s">
        <v>84</v>
      </c>
      <c r="B39" s="37">
        <v>0</v>
      </c>
      <c r="C39" s="37"/>
      <c r="D39" s="37">
        <v>0</v>
      </c>
    </row>
    <row r="40" spans="1:11" ht="31.5" hidden="1" x14ac:dyDescent="0.25">
      <c r="A40" s="4" t="s">
        <v>85</v>
      </c>
      <c r="B40" s="37">
        <v>0</v>
      </c>
      <c r="C40" s="37"/>
      <c r="D40" s="37">
        <v>0</v>
      </c>
    </row>
    <row r="41" spans="1:11" ht="31.5" hidden="1" x14ac:dyDescent="0.25">
      <c r="A41" s="4" t="s">
        <v>87</v>
      </c>
      <c r="B41" s="37">
        <v>0</v>
      </c>
      <c r="C41" s="37"/>
      <c r="D41" s="37">
        <v>0</v>
      </c>
    </row>
    <row r="42" spans="1:11" hidden="1" x14ac:dyDescent="0.25">
      <c r="A42" s="4" t="s">
        <v>86</v>
      </c>
      <c r="B42" s="37"/>
      <c r="C42" s="37"/>
      <c r="D42" s="37">
        <v>0</v>
      </c>
    </row>
    <row r="43" spans="1:11" hidden="1" x14ac:dyDescent="0.25">
      <c r="A43" s="4" t="s">
        <v>55</v>
      </c>
      <c r="B43" s="42">
        <v>0</v>
      </c>
      <c r="C43" s="42"/>
      <c r="D43" s="42">
        <v>0</v>
      </c>
    </row>
    <row r="44" spans="1:11" x14ac:dyDescent="0.25">
      <c r="A44" s="22" t="s">
        <v>61</v>
      </c>
      <c r="B44" s="43">
        <f>SUM(B31:B43)</f>
        <v>-11269539.21999998</v>
      </c>
      <c r="C44" s="43"/>
      <c r="D44" s="43">
        <f>SUM(D31:D43)</f>
        <v>-24867049.050000001</v>
      </c>
      <c r="E44" s="45"/>
    </row>
    <row r="45" spans="1:11" x14ac:dyDescent="0.25">
      <c r="A45" s="17"/>
      <c r="B45" s="40"/>
      <c r="C45" s="44"/>
      <c r="D45" s="40"/>
      <c r="E45" s="45"/>
      <c r="F45" s="31"/>
      <c r="I45" s="31"/>
    </row>
    <row r="46" spans="1:11" x14ac:dyDescent="0.25">
      <c r="A46" s="22" t="s">
        <v>62</v>
      </c>
      <c r="B46" s="41"/>
      <c r="C46" s="41"/>
      <c r="D46" s="41"/>
      <c r="F46" s="31"/>
      <c r="G46" s="31"/>
      <c r="H46" s="31"/>
      <c r="I46" s="31"/>
      <c r="J46" s="31"/>
    </row>
    <row r="47" spans="1:11" x14ac:dyDescent="0.25">
      <c r="A47" s="6" t="s">
        <v>387</v>
      </c>
      <c r="B47" s="41">
        <v>366293.31</v>
      </c>
      <c r="C47" s="41"/>
      <c r="D47" s="37">
        <v>14375879.850000001</v>
      </c>
      <c r="E47" s="45"/>
      <c r="F47" s="31"/>
      <c r="G47" s="31"/>
      <c r="H47" s="31"/>
      <c r="I47" s="31"/>
      <c r="J47" s="31"/>
      <c r="K47" s="31"/>
    </row>
    <row r="48" spans="1:11" hidden="1" x14ac:dyDescent="0.25">
      <c r="A48" s="62" t="s">
        <v>53</v>
      </c>
      <c r="B48" s="37"/>
      <c r="C48" s="37"/>
      <c r="D48" s="37"/>
      <c r="E48" s="45"/>
      <c r="F48" s="31"/>
      <c r="G48" s="31"/>
      <c r="H48" s="31"/>
      <c r="I48" s="31"/>
      <c r="J48" s="31"/>
      <c r="K48" s="31"/>
    </row>
    <row r="49" spans="1:10" hidden="1" x14ac:dyDescent="0.25">
      <c r="A49" s="62" t="s">
        <v>63</v>
      </c>
      <c r="B49" s="232"/>
      <c r="C49" s="37"/>
      <c r="D49" s="37">
        <v>0</v>
      </c>
      <c r="E49" s="45"/>
      <c r="F49" s="31"/>
      <c r="G49" s="31"/>
      <c r="H49" s="31"/>
      <c r="I49" s="31"/>
      <c r="J49" s="31"/>
    </row>
    <row r="50" spans="1:10" hidden="1" x14ac:dyDescent="0.25">
      <c r="A50" s="62" t="s">
        <v>64</v>
      </c>
      <c r="B50" s="232"/>
      <c r="C50" s="37"/>
      <c r="D50" s="37">
        <v>0</v>
      </c>
      <c r="E50" s="45"/>
      <c r="F50" s="31"/>
      <c r="G50" s="31"/>
      <c r="H50" s="31"/>
      <c r="I50" s="31"/>
      <c r="J50" s="31"/>
    </row>
    <row r="51" spans="1:10" ht="31.5" hidden="1" x14ac:dyDescent="0.25">
      <c r="A51" s="62" t="s">
        <v>88</v>
      </c>
      <c r="B51" s="232"/>
      <c r="C51" s="37"/>
      <c r="D51" s="37">
        <v>0</v>
      </c>
      <c r="E51" s="45"/>
    </row>
    <row r="52" spans="1:10" hidden="1" x14ac:dyDescent="0.25">
      <c r="A52" s="62" t="s">
        <v>53</v>
      </c>
      <c r="B52" s="232"/>
      <c r="C52" s="37"/>
      <c r="D52" s="37">
        <v>0</v>
      </c>
      <c r="E52" s="45"/>
      <c r="F52" s="45"/>
    </row>
    <row r="53" spans="1:10" hidden="1" x14ac:dyDescent="0.25">
      <c r="A53" s="62" t="s">
        <v>55</v>
      </c>
      <c r="B53" s="37"/>
      <c r="C53" s="37"/>
      <c r="D53" s="37"/>
      <c r="E53" s="45"/>
      <c r="F53" s="45"/>
      <c r="H53" s="45"/>
      <c r="I53" s="45"/>
    </row>
    <row r="54" spans="1:10" x14ac:dyDescent="0.25">
      <c r="A54" s="6" t="s">
        <v>386</v>
      </c>
      <c r="B54" s="37">
        <v>-8493370.4199999999</v>
      </c>
      <c r="C54" s="37"/>
      <c r="D54" s="37">
        <v>-5778739.04</v>
      </c>
      <c r="E54" s="45"/>
      <c r="F54" s="45"/>
    </row>
    <row r="55" spans="1:10" ht="31.5" hidden="1" x14ac:dyDescent="0.25">
      <c r="A55" s="4" t="s">
        <v>65</v>
      </c>
      <c r="B55" s="37">
        <v>0</v>
      </c>
      <c r="C55" s="37"/>
      <c r="D55" s="37">
        <v>0</v>
      </c>
      <c r="E55" s="45"/>
      <c r="F55" s="45"/>
    </row>
    <row r="56" spans="1:10" hidden="1" x14ac:dyDescent="0.25">
      <c r="A56" s="4" t="s">
        <v>89</v>
      </c>
      <c r="B56" s="37">
        <v>0</v>
      </c>
      <c r="C56" s="37"/>
      <c r="D56" s="37">
        <v>0</v>
      </c>
    </row>
    <row r="57" spans="1:10" hidden="1" x14ac:dyDescent="0.25">
      <c r="A57" s="4" t="s">
        <v>90</v>
      </c>
      <c r="B57" s="37">
        <v>0</v>
      </c>
      <c r="C57" s="37"/>
      <c r="D57" s="37">
        <v>0</v>
      </c>
    </row>
    <row r="58" spans="1:10" ht="31.5" hidden="1" x14ac:dyDescent="0.25">
      <c r="A58" s="4" t="s">
        <v>91</v>
      </c>
      <c r="B58" s="37">
        <v>0</v>
      </c>
      <c r="C58" s="37"/>
      <c r="D58" s="37">
        <v>0</v>
      </c>
    </row>
    <row r="59" spans="1:10" hidden="1" x14ac:dyDescent="0.25">
      <c r="A59" s="4" t="s">
        <v>92</v>
      </c>
      <c r="B59" s="42">
        <v>0</v>
      </c>
      <c r="C59" s="37"/>
      <c r="D59" s="42">
        <v>0</v>
      </c>
    </row>
    <row r="60" spans="1:10" x14ac:dyDescent="0.25">
      <c r="A60" s="22" t="s">
        <v>66</v>
      </c>
      <c r="B60" s="43">
        <f>SUM(B47:B59)</f>
        <v>-8127077.1100000003</v>
      </c>
      <c r="C60" s="43"/>
      <c r="D60" s="43">
        <f t="shared" ref="D60" si="0">SUM(D47:D59)</f>
        <v>8597140.8100000024</v>
      </c>
      <c r="E60" s="45"/>
      <c r="F60" s="45"/>
      <c r="H60" s="45"/>
      <c r="I60" s="45"/>
    </row>
    <row r="61" spans="1:10" ht="31.5" x14ac:dyDescent="0.25">
      <c r="A61" s="4" t="s">
        <v>93</v>
      </c>
      <c r="B61" s="39">
        <f t="shared" ref="B61" si="1">B28+B44+B60</f>
        <v>-2566062.418694173</v>
      </c>
      <c r="C61" s="39"/>
      <c r="D61" s="39">
        <f t="shared" ref="D61" si="2">D28+D44+D60</f>
        <v>-2432001.8800000288</v>
      </c>
      <c r="E61" s="11"/>
      <c r="F61" s="45"/>
    </row>
    <row r="62" spans="1:10" x14ac:dyDescent="0.25">
      <c r="A62" s="4" t="s">
        <v>94</v>
      </c>
      <c r="B62" s="38">
        <f>D63</f>
        <v>20979065.719999973</v>
      </c>
      <c r="C62" s="37"/>
      <c r="D62" s="38">
        <v>23411067.600000001</v>
      </c>
      <c r="E62" s="45"/>
    </row>
    <row r="63" spans="1:10" x14ac:dyDescent="0.25">
      <c r="A63" s="5" t="s">
        <v>67</v>
      </c>
      <c r="B63" s="43">
        <f>+B61+B62</f>
        <v>18413003.301305801</v>
      </c>
      <c r="C63" s="43"/>
      <c r="D63" s="43">
        <f>+D61+D62</f>
        <v>20979065.719999973</v>
      </c>
      <c r="E63" s="230"/>
      <c r="F63" s="45"/>
    </row>
    <row r="64" spans="1:10" x14ac:dyDescent="0.25">
      <c r="E64" s="266"/>
    </row>
    <row r="65" spans="1:6" x14ac:dyDescent="0.25">
      <c r="E65" s="45"/>
      <c r="F65" s="11"/>
    </row>
    <row r="66" spans="1:6" x14ac:dyDescent="0.25">
      <c r="A66" s="7" t="s">
        <v>282</v>
      </c>
    </row>
    <row r="67" spans="1:6" x14ac:dyDescent="0.25">
      <c r="E67" s="45"/>
    </row>
    <row r="68" spans="1:6" x14ac:dyDescent="0.25">
      <c r="D68" s="295"/>
    </row>
    <row r="70" spans="1:6" ht="18" customHeight="1" x14ac:dyDescent="0.25">
      <c r="A70" s="61" t="s">
        <v>101</v>
      </c>
      <c r="B70" s="304" t="s">
        <v>101</v>
      </c>
      <c r="C70" s="304"/>
      <c r="D70" s="304"/>
    </row>
    <row r="71" spans="1:6" x14ac:dyDescent="0.25">
      <c r="A71" s="24" t="s">
        <v>102</v>
      </c>
      <c r="B71" s="303" t="s">
        <v>103</v>
      </c>
      <c r="C71" s="303"/>
      <c r="D71" s="303"/>
    </row>
    <row r="75" spans="1:6" x14ac:dyDescent="0.25">
      <c r="A75" s="61" t="s">
        <v>105</v>
      </c>
      <c r="B75" s="304" t="s">
        <v>101</v>
      </c>
      <c r="C75" s="304"/>
      <c r="D75" s="304"/>
    </row>
    <row r="76" spans="1:6" x14ac:dyDescent="0.25">
      <c r="A76" s="24" t="s">
        <v>95</v>
      </c>
      <c r="B76" s="303" t="s">
        <v>96</v>
      </c>
      <c r="C76" s="303"/>
      <c r="D76" s="303"/>
    </row>
  </sheetData>
  <mergeCells count="8">
    <mergeCell ref="A3:D3"/>
    <mergeCell ref="A4:D4"/>
    <mergeCell ref="A5:D5"/>
    <mergeCell ref="A6:D6"/>
    <mergeCell ref="B76:D76"/>
    <mergeCell ref="B71:D71"/>
    <mergeCell ref="B70:D70"/>
    <mergeCell ref="B75:D75"/>
  </mergeCells>
  <pageMargins left="0.70866141732283472" right="0.70866141732283472" top="1.3385826771653544" bottom="0.74803149606299213" header="0.31496062992125984" footer="0.31496062992125984"/>
  <pageSetup scale="85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3"/>
  <sheetViews>
    <sheetView topLeftCell="A25" workbookViewId="0">
      <selection activeCell="C37" sqref="C37"/>
    </sheetView>
  </sheetViews>
  <sheetFormatPr baseColWidth="10" defaultRowHeight="15" x14ac:dyDescent="0.25"/>
  <cols>
    <col min="1" max="1" width="4.5703125" customWidth="1"/>
    <col min="2" max="2" width="34.5703125" customWidth="1"/>
    <col min="3" max="3" width="13.85546875" customWidth="1"/>
    <col min="4" max="4" width="14.7109375" customWidth="1"/>
    <col min="5" max="5" width="6.28515625" customWidth="1"/>
    <col min="6" max="6" width="12.7109375" customWidth="1"/>
    <col min="7" max="8" width="12.7109375" bestFit="1" customWidth="1"/>
    <col min="9" max="10" width="13.7109375" bestFit="1" customWidth="1"/>
    <col min="11" max="11" width="11.7109375" bestFit="1" customWidth="1"/>
  </cols>
  <sheetData>
    <row r="6" spans="1:7" ht="48" customHeight="1" x14ac:dyDescent="0.25"/>
    <row r="7" spans="1:7" ht="15.75" x14ac:dyDescent="0.25">
      <c r="A7" s="306" t="s">
        <v>380</v>
      </c>
      <c r="B7" s="306"/>
      <c r="C7" s="306"/>
      <c r="D7" s="306"/>
      <c r="E7" s="306"/>
      <c r="F7" s="306"/>
    </row>
    <row r="8" spans="1:7" ht="15.75" x14ac:dyDescent="0.25">
      <c r="A8" s="306" t="s">
        <v>381</v>
      </c>
      <c r="B8" s="306"/>
      <c r="C8" s="306"/>
      <c r="D8" s="306"/>
      <c r="E8" s="306"/>
      <c r="F8" s="306"/>
    </row>
    <row r="9" spans="1:7" ht="15.75" x14ac:dyDescent="0.25">
      <c r="A9" s="307" t="s">
        <v>382</v>
      </c>
      <c r="B9" s="307"/>
      <c r="C9" s="307"/>
      <c r="D9" s="307"/>
      <c r="E9" s="307"/>
      <c r="F9" s="307"/>
      <c r="G9" s="251"/>
    </row>
    <row r="10" spans="1:7" ht="15.75" x14ac:dyDescent="0.25">
      <c r="A10" s="306" t="s">
        <v>383</v>
      </c>
      <c r="B10" s="306"/>
      <c r="C10" s="306"/>
      <c r="D10" s="306"/>
      <c r="E10" s="306"/>
      <c r="F10" s="306"/>
    </row>
    <row r="12" spans="1:7" ht="15.75" thickBot="1" x14ac:dyDescent="0.3"/>
    <row r="13" spans="1:7" ht="32.25" thickBot="1" x14ac:dyDescent="0.3">
      <c r="A13" s="234"/>
      <c r="B13" s="235" t="s">
        <v>366</v>
      </c>
      <c r="C13" s="236" t="s">
        <v>367</v>
      </c>
      <c r="D13" s="236" t="s">
        <v>368</v>
      </c>
      <c r="E13" s="236" t="s">
        <v>369</v>
      </c>
      <c r="F13" s="236" t="s">
        <v>370</v>
      </c>
    </row>
    <row r="14" spans="1:7" ht="16.5" thickBot="1" x14ac:dyDescent="0.3">
      <c r="A14" s="257">
        <v>1</v>
      </c>
      <c r="B14" s="240" t="s">
        <v>385</v>
      </c>
      <c r="C14" s="241">
        <f>+'NOTAS 7 AL 48 '!H5</f>
        <v>2989716.6299999952</v>
      </c>
      <c r="D14" s="238"/>
      <c r="E14" s="238"/>
      <c r="F14" s="238"/>
    </row>
    <row r="15" spans="1:7" ht="15.75" customHeight="1" thickBot="1" x14ac:dyDescent="0.3">
      <c r="A15" s="259">
        <v>1</v>
      </c>
      <c r="B15" s="239" t="s">
        <v>371</v>
      </c>
      <c r="C15" s="241">
        <v>31420801.43</v>
      </c>
      <c r="D15" s="241"/>
      <c r="E15" s="241"/>
      <c r="F15" s="241"/>
    </row>
    <row r="16" spans="1:7" ht="16.5" thickBot="1" x14ac:dyDescent="0.3">
      <c r="A16" s="242">
        <v>1.4</v>
      </c>
      <c r="B16" s="243" t="s">
        <v>29</v>
      </c>
      <c r="C16" s="258">
        <f>+C14+C15</f>
        <v>34410518.059999995</v>
      </c>
      <c r="D16" s="238"/>
      <c r="E16" s="238"/>
      <c r="F16" s="238"/>
    </row>
    <row r="17" spans="1:10" ht="16.5" thickBot="1" x14ac:dyDescent="0.3">
      <c r="A17" s="242">
        <v>2</v>
      </c>
      <c r="B17" s="243" t="s">
        <v>372</v>
      </c>
      <c r="C17" s="244"/>
      <c r="D17" s="245">
        <v>26414951.210000001</v>
      </c>
      <c r="E17" s="246"/>
      <c r="F17" s="244"/>
    </row>
    <row r="18" spans="1:10" ht="16.5" thickBot="1" x14ac:dyDescent="0.3">
      <c r="A18" s="239">
        <v>2.1</v>
      </c>
      <c r="B18" s="240" t="s">
        <v>373</v>
      </c>
      <c r="C18" s="247">
        <v>676219.29</v>
      </c>
      <c r="D18" s="247">
        <v>291219.28999999998</v>
      </c>
      <c r="E18" s="248">
        <v>0.43</v>
      </c>
      <c r="F18" s="247">
        <v>385000</v>
      </c>
    </row>
    <row r="19" spans="1:10" ht="16.5" thickBot="1" x14ac:dyDescent="0.3">
      <c r="A19" s="239">
        <v>2.2000000000000002</v>
      </c>
      <c r="B19" s="240" t="s">
        <v>374</v>
      </c>
      <c r="C19" s="247">
        <v>15622490.609999999</v>
      </c>
      <c r="D19" s="247">
        <v>14622190.609999999</v>
      </c>
      <c r="E19" s="248">
        <v>0.93</v>
      </c>
      <c r="F19" s="247">
        <v>1000300</v>
      </c>
    </row>
    <row r="20" spans="1:10" ht="16.5" thickBot="1" x14ac:dyDescent="0.3">
      <c r="A20" s="239">
        <v>2.2999999999999998</v>
      </c>
      <c r="B20" s="240" t="s">
        <v>375</v>
      </c>
      <c r="C20" s="247">
        <v>7106358.7599999998</v>
      </c>
      <c r="D20" s="247">
        <v>4106092</v>
      </c>
      <c r="E20" s="248">
        <v>0.56999999999999995</v>
      </c>
      <c r="F20" s="247">
        <v>3000266.76</v>
      </c>
    </row>
    <row r="21" spans="1:10" ht="16.5" thickBot="1" x14ac:dyDescent="0.3">
      <c r="A21" s="239">
        <v>2.4</v>
      </c>
      <c r="B21" s="240" t="s">
        <v>376</v>
      </c>
      <c r="C21" s="247">
        <v>871370</v>
      </c>
      <c r="D21" s="247">
        <v>671370</v>
      </c>
      <c r="E21" s="248">
        <v>0.77</v>
      </c>
      <c r="F21" s="247">
        <v>200000</v>
      </c>
    </row>
    <row r="22" spans="1:10" ht="16.5" thickBot="1" x14ac:dyDescent="0.3">
      <c r="A22" s="239">
        <v>2.6</v>
      </c>
      <c r="B22" s="240" t="s">
        <v>377</v>
      </c>
      <c r="C22" s="247">
        <v>8864960.9499999993</v>
      </c>
      <c r="D22" s="247">
        <v>6574960.9500000002</v>
      </c>
      <c r="E22" s="248">
        <v>0.74</v>
      </c>
      <c r="F22" s="247">
        <v>2290000</v>
      </c>
      <c r="G22" s="30"/>
    </row>
    <row r="23" spans="1:10" ht="16.5" thickBot="1" x14ac:dyDescent="0.3">
      <c r="A23" s="239">
        <v>2.7</v>
      </c>
      <c r="B23" s="240" t="s">
        <v>378</v>
      </c>
      <c r="C23" s="247">
        <v>1269118.3500000001</v>
      </c>
      <c r="D23" s="247">
        <v>149118.35</v>
      </c>
      <c r="E23" s="248">
        <v>0.11</v>
      </c>
      <c r="F23" s="247">
        <v>1120000</v>
      </c>
    </row>
    <row r="24" spans="1:10" ht="16.5" thickBot="1" x14ac:dyDescent="0.3">
      <c r="A24" s="239"/>
      <c r="B24" s="243" t="s">
        <v>379</v>
      </c>
      <c r="C24" s="245">
        <v>34410517.960000001</v>
      </c>
      <c r="D24" s="245">
        <v>26414951.210000001</v>
      </c>
      <c r="E24" s="249">
        <v>0.77</v>
      </c>
      <c r="F24" s="245">
        <v>7995566.7599999998</v>
      </c>
      <c r="H24" s="30"/>
      <c r="I24" s="30"/>
      <c r="J24" s="30"/>
    </row>
    <row r="25" spans="1:10" ht="15.75" x14ac:dyDescent="0.25">
      <c r="A25" s="237"/>
      <c r="I25" s="30"/>
    </row>
    <row r="26" spans="1:10" ht="15.75" x14ac:dyDescent="0.25">
      <c r="A26" s="250"/>
      <c r="I26" s="30"/>
    </row>
    <row r="27" spans="1:10" ht="15.75" x14ac:dyDescent="0.25">
      <c r="B27" s="61" t="s">
        <v>101</v>
      </c>
      <c r="C27" s="305" t="s">
        <v>101</v>
      </c>
      <c r="D27" s="305"/>
      <c r="E27" s="305"/>
    </row>
    <row r="28" spans="1:10" ht="16.5" thickBot="1" x14ac:dyDescent="0.3">
      <c r="B28" s="96" t="s">
        <v>102</v>
      </c>
      <c r="C28" s="303" t="s">
        <v>103</v>
      </c>
      <c r="D28" s="303"/>
      <c r="E28" s="303"/>
    </row>
    <row r="29" spans="1:10" ht="15.75" x14ac:dyDescent="0.25">
      <c r="B29" s="7"/>
      <c r="C29" s="11"/>
      <c r="D29" s="11"/>
      <c r="E29" s="11"/>
      <c r="I29" s="30"/>
    </row>
    <row r="30" spans="1:10" ht="15.75" x14ac:dyDescent="0.25">
      <c r="B30" s="7"/>
      <c r="C30" s="11"/>
      <c r="D30" s="11"/>
      <c r="E30" s="11"/>
    </row>
    <row r="31" spans="1:10" ht="15.75" x14ac:dyDescent="0.25">
      <c r="B31" s="7"/>
      <c r="C31" s="11"/>
      <c r="D31" s="11"/>
      <c r="E31" s="11"/>
    </row>
    <row r="32" spans="1:10" ht="15.75" x14ac:dyDescent="0.25">
      <c r="B32" s="61" t="s">
        <v>105</v>
      </c>
      <c r="C32" s="305" t="s">
        <v>101</v>
      </c>
      <c r="D32" s="305"/>
      <c r="E32" s="305"/>
      <c r="I32" s="30"/>
    </row>
    <row r="33" spans="2:5" ht="15.75" x14ac:dyDescent="0.25">
      <c r="B33" s="96" t="s">
        <v>95</v>
      </c>
      <c r="C33" s="303" t="s">
        <v>96</v>
      </c>
      <c r="D33" s="303"/>
      <c r="E33" s="303"/>
    </row>
  </sheetData>
  <mergeCells count="8">
    <mergeCell ref="C27:E27"/>
    <mergeCell ref="C28:E28"/>
    <mergeCell ref="C32:E32"/>
    <mergeCell ref="C33:E33"/>
    <mergeCell ref="A7:F7"/>
    <mergeCell ref="A8:F8"/>
    <mergeCell ref="A9:F9"/>
    <mergeCell ref="A10:F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4"/>
  <sheetViews>
    <sheetView topLeftCell="A22" workbookViewId="0">
      <selection activeCell="I23" sqref="I23"/>
    </sheetView>
  </sheetViews>
  <sheetFormatPr baseColWidth="10" defaultRowHeight="15" x14ac:dyDescent="0.25"/>
  <cols>
    <col min="1" max="1" width="4.42578125" bestFit="1" customWidth="1"/>
    <col min="2" max="2" width="34.42578125" customWidth="1"/>
    <col min="3" max="3" width="15.85546875" customWidth="1"/>
    <col min="4" max="4" width="15.28515625" customWidth="1"/>
    <col min="5" max="5" width="6.42578125" customWidth="1"/>
    <col min="6" max="6" width="10.42578125" customWidth="1"/>
    <col min="9" max="9" width="16.7109375" bestFit="1" customWidth="1"/>
    <col min="11" max="11" width="17.7109375" bestFit="1" customWidth="1"/>
  </cols>
  <sheetData>
    <row r="10" spans="1:6" ht="15.75" x14ac:dyDescent="0.25">
      <c r="A10" s="306" t="s">
        <v>380</v>
      </c>
      <c r="B10" s="306"/>
      <c r="C10" s="306"/>
      <c r="D10" s="306"/>
      <c r="E10" s="306"/>
      <c r="F10" s="306"/>
    </row>
    <row r="11" spans="1:6" ht="15.75" x14ac:dyDescent="0.25">
      <c r="A11" s="306" t="s">
        <v>381</v>
      </c>
      <c r="B11" s="306"/>
      <c r="C11" s="306"/>
      <c r="D11" s="306"/>
      <c r="E11" s="306"/>
      <c r="F11" s="306"/>
    </row>
    <row r="12" spans="1:6" ht="15.75" x14ac:dyDescent="0.25">
      <c r="A12" s="306" t="s">
        <v>382</v>
      </c>
      <c r="B12" s="306"/>
      <c r="C12" s="306"/>
      <c r="D12" s="306"/>
      <c r="E12" s="306"/>
      <c r="F12" s="306"/>
    </row>
    <row r="13" spans="1:6" ht="15.75" x14ac:dyDescent="0.25">
      <c r="A13" s="309" t="s">
        <v>384</v>
      </c>
      <c r="B13" s="309"/>
      <c r="C13" s="309"/>
      <c r="D13" s="309"/>
      <c r="E13" s="309"/>
      <c r="F13" s="309"/>
    </row>
    <row r="15" spans="1:6" ht="15.75" thickBot="1" x14ac:dyDescent="0.3"/>
    <row r="16" spans="1:6" ht="32.25" thickBot="1" x14ac:dyDescent="0.3">
      <c r="A16" s="234"/>
      <c r="B16" s="252" t="s">
        <v>366</v>
      </c>
      <c r="C16" s="236" t="s">
        <v>367</v>
      </c>
      <c r="D16" s="236" t="s">
        <v>368</v>
      </c>
      <c r="E16" s="236" t="s">
        <v>369</v>
      </c>
      <c r="F16" s="236" t="s">
        <v>370</v>
      </c>
    </row>
    <row r="17" spans="1:9" ht="16.5" thickBot="1" x14ac:dyDescent="0.3">
      <c r="A17" s="242">
        <v>1</v>
      </c>
      <c r="B17" s="243" t="s">
        <v>371</v>
      </c>
      <c r="C17" s="245">
        <v>185131245</v>
      </c>
      <c r="D17" s="244"/>
      <c r="E17" s="246"/>
      <c r="F17" s="244"/>
      <c r="I17" s="169"/>
    </row>
    <row r="18" spans="1:9" ht="16.5" thickBot="1" x14ac:dyDescent="0.3">
      <c r="A18" s="239">
        <v>1.4</v>
      </c>
      <c r="B18" s="240" t="s">
        <v>29</v>
      </c>
      <c r="C18" s="247">
        <v>185131245</v>
      </c>
      <c r="D18" s="244"/>
      <c r="E18" s="246"/>
      <c r="F18" s="244"/>
      <c r="I18" s="256"/>
    </row>
    <row r="19" spans="1:9" ht="16.5" thickBot="1" x14ac:dyDescent="0.3">
      <c r="A19" s="242">
        <v>2</v>
      </c>
      <c r="B19" s="243" t="s">
        <v>372</v>
      </c>
      <c r="C19" s="244"/>
      <c r="D19" s="245">
        <v>185037951.37</v>
      </c>
      <c r="E19" s="246"/>
      <c r="F19" s="244"/>
    </row>
    <row r="20" spans="1:9" ht="16.5" thickBot="1" x14ac:dyDescent="0.3">
      <c r="A20" s="253">
        <v>2.1</v>
      </c>
      <c r="B20" s="240" t="s">
        <v>373</v>
      </c>
      <c r="C20" s="247">
        <v>130381255.34999999</v>
      </c>
      <c r="D20" s="247">
        <v>130362804.66</v>
      </c>
      <c r="E20" s="248">
        <v>0.99990000000000001</v>
      </c>
      <c r="F20" s="247">
        <v>18450.689999999999</v>
      </c>
    </row>
    <row r="21" spans="1:9" ht="16.5" thickBot="1" x14ac:dyDescent="0.3">
      <c r="A21" s="239">
        <v>2.2000000000000002</v>
      </c>
      <c r="B21" s="240" t="s">
        <v>374</v>
      </c>
      <c r="C21" s="247">
        <v>25657941.670000002</v>
      </c>
      <c r="D21" s="247">
        <v>25650191.199999999</v>
      </c>
      <c r="E21" s="248">
        <v>0.99970000000000003</v>
      </c>
      <c r="F21" s="247">
        <v>7750.47</v>
      </c>
    </row>
    <row r="22" spans="1:9" ht="16.5" thickBot="1" x14ac:dyDescent="0.3">
      <c r="A22" s="239">
        <v>2.2999999999999998</v>
      </c>
      <c r="B22" s="240" t="s">
        <v>375</v>
      </c>
      <c r="C22" s="247">
        <v>24958048</v>
      </c>
      <c r="D22" s="247">
        <v>24921960.030000001</v>
      </c>
      <c r="E22" s="248">
        <v>0.99860000000000004</v>
      </c>
      <c r="F22" s="247">
        <v>36087.97</v>
      </c>
    </row>
    <row r="23" spans="1:9" ht="16.5" thickBot="1" x14ac:dyDescent="0.3">
      <c r="A23" s="239">
        <v>2.6</v>
      </c>
      <c r="B23" s="240" t="s">
        <v>377</v>
      </c>
      <c r="C23" s="247">
        <v>4133999.98</v>
      </c>
      <c r="D23" s="247">
        <v>4102995.48</v>
      </c>
      <c r="E23" s="248">
        <v>0.99250000000000005</v>
      </c>
      <c r="F23" s="247">
        <v>31004.5</v>
      </c>
    </row>
    <row r="24" spans="1:9" ht="16.5" thickBot="1" x14ac:dyDescent="0.3">
      <c r="A24" s="239"/>
      <c r="B24" s="243" t="s">
        <v>379</v>
      </c>
      <c r="C24" s="254"/>
      <c r="D24" s="245">
        <v>185037951.37</v>
      </c>
      <c r="E24" s="249">
        <v>0.99770000000000003</v>
      </c>
      <c r="F24" s="245">
        <v>93293.63</v>
      </c>
      <c r="I24" s="30"/>
    </row>
    <row r="27" spans="1:9" x14ac:dyDescent="0.25">
      <c r="B27" s="263"/>
    </row>
    <row r="28" spans="1:9" ht="15.75" x14ac:dyDescent="0.25">
      <c r="B28" s="262"/>
    </row>
    <row r="29" spans="1:9" ht="15.75" x14ac:dyDescent="0.25">
      <c r="B29" s="255" t="s">
        <v>102</v>
      </c>
      <c r="C29" s="308" t="s">
        <v>103</v>
      </c>
      <c r="D29" s="308"/>
      <c r="E29" s="308"/>
    </row>
    <row r="30" spans="1:9" ht="15.75" x14ac:dyDescent="0.25">
      <c r="B30" s="7"/>
      <c r="C30" s="11"/>
      <c r="D30" s="11"/>
      <c r="E30" s="11"/>
    </row>
    <row r="31" spans="1:9" ht="15.75" x14ac:dyDescent="0.25">
      <c r="B31" s="7"/>
      <c r="C31" s="11"/>
      <c r="D31" s="11"/>
      <c r="E31" s="11"/>
    </row>
    <row r="32" spans="1:9" ht="15.75" x14ac:dyDescent="0.25">
      <c r="B32" s="7"/>
      <c r="C32" s="11"/>
      <c r="D32" s="11"/>
      <c r="E32" s="11"/>
    </row>
    <row r="33" spans="2:5" ht="15.75" x14ac:dyDescent="0.25">
      <c r="B33" s="61" t="s">
        <v>105</v>
      </c>
      <c r="C33" s="305" t="s">
        <v>101</v>
      </c>
      <c r="D33" s="305"/>
      <c r="E33" s="305"/>
    </row>
    <row r="34" spans="2:5" ht="15.75" x14ac:dyDescent="0.25">
      <c r="B34" s="96" t="s">
        <v>95</v>
      </c>
      <c r="C34" s="303" t="s">
        <v>96</v>
      </c>
      <c r="D34" s="303"/>
      <c r="E34" s="303"/>
    </row>
  </sheetData>
  <mergeCells count="7">
    <mergeCell ref="C29:E29"/>
    <mergeCell ref="C33:E33"/>
    <mergeCell ref="C34:E34"/>
    <mergeCell ref="A10:F10"/>
    <mergeCell ref="A11:F11"/>
    <mergeCell ref="A12:F12"/>
    <mergeCell ref="A13:F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0"/>
  <sheetViews>
    <sheetView tabSelected="1" view="pageBreakPreview" topLeftCell="C9" zoomScale="145" zoomScaleNormal="145" zoomScaleSheetLayoutView="145" workbookViewId="0">
      <selection activeCell="G39" sqref="G39"/>
    </sheetView>
  </sheetViews>
  <sheetFormatPr baseColWidth="10" defaultRowHeight="15" x14ac:dyDescent="0.25"/>
  <cols>
    <col min="1" max="1" width="11.42578125" style="36"/>
    <col min="2" max="2" width="86" style="36" customWidth="1"/>
    <col min="3" max="3" width="0.28515625" style="36" customWidth="1"/>
    <col min="4" max="4" width="25.140625" style="36" hidden="1" customWidth="1"/>
    <col min="5" max="5" width="7.7109375" style="98" hidden="1" customWidth="1"/>
    <col min="6" max="6" width="24.28515625" style="36" customWidth="1"/>
    <col min="7" max="7" width="16.5703125" style="36" customWidth="1"/>
    <col min="8" max="8" width="25.7109375" style="36" customWidth="1"/>
    <col min="9" max="9" width="0.28515625" style="36" hidden="1" customWidth="1"/>
    <col min="10" max="10" width="24.5703125" style="36" customWidth="1"/>
    <col min="11" max="11" width="22" style="36" bestFit="1" customWidth="1"/>
    <col min="12" max="12" width="18.28515625" style="36" bestFit="1" customWidth="1"/>
    <col min="13" max="13" width="17.85546875" style="36" customWidth="1"/>
    <col min="14" max="16384" width="11.42578125" style="36"/>
  </cols>
  <sheetData>
    <row r="1" spans="2:10" s="27" customFormat="1" x14ac:dyDescent="0.25">
      <c r="B1" s="27" t="s">
        <v>135</v>
      </c>
      <c r="E1" s="97"/>
    </row>
    <row r="2" spans="2:10" x14ac:dyDescent="0.25">
      <c r="B2" s="36" t="s">
        <v>338</v>
      </c>
    </row>
    <row r="4" spans="2:10" x14ac:dyDescent="0.25">
      <c r="B4" s="27" t="s">
        <v>146</v>
      </c>
      <c r="F4" s="99">
        <v>2021</v>
      </c>
      <c r="G4" s="99"/>
      <c r="H4" s="99">
        <v>2020</v>
      </c>
      <c r="J4" s="114"/>
    </row>
    <row r="5" spans="2:10" x14ac:dyDescent="0.25">
      <c r="B5" s="36" t="s">
        <v>264</v>
      </c>
      <c r="F5" s="100">
        <v>9308369.7300000004</v>
      </c>
      <c r="H5" s="100">
        <v>2989716.6299999952</v>
      </c>
    </row>
    <row r="6" spans="2:10" x14ac:dyDescent="0.25">
      <c r="B6" s="36" t="s">
        <v>267</v>
      </c>
      <c r="D6" s="102"/>
      <c r="E6" s="103"/>
      <c r="F6" s="100">
        <v>529035.11</v>
      </c>
      <c r="G6" s="101"/>
      <c r="H6" s="100">
        <v>4979416.58</v>
      </c>
    </row>
    <row r="7" spans="2:10" x14ac:dyDescent="0.25">
      <c r="B7" s="36" t="s">
        <v>268</v>
      </c>
      <c r="D7" s="102" t="s">
        <v>266</v>
      </c>
      <c r="E7" s="103"/>
      <c r="F7" s="100">
        <v>7812137.3399999999</v>
      </c>
      <c r="G7" s="233"/>
      <c r="H7" s="100">
        <v>12978441.390000001</v>
      </c>
      <c r="J7" s="30"/>
    </row>
    <row r="8" spans="2:10" x14ac:dyDescent="0.25">
      <c r="B8" s="36" t="s">
        <v>270</v>
      </c>
      <c r="D8" s="102"/>
      <c r="E8" s="103"/>
      <c r="F8" s="100">
        <v>763461.11</v>
      </c>
      <c r="G8" s="101"/>
      <c r="H8" s="100">
        <v>31491.11</v>
      </c>
      <c r="J8" s="30"/>
    </row>
    <row r="9" spans="2:10" x14ac:dyDescent="0.25">
      <c r="B9" s="36" t="s">
        <v>271</v>
      </c>
      <c r="D9" s="102"/>
      <c r="E9" s="103"/>
      <c r="F9" s="104">
        <v>0.01</v>
      </c>
      <c r="G9" s="101"/>
      <c r="H9" s="104">
        <v>0.01</v>
      </c>
      <c r="J9" s="30"/>
    </row>
    <row r="10" spans="2:10" ht="15.75" hidden="1" thickBot="1" x14ac:dyDescent="0.3">
      <c r="F10" s="105"/>
      <c r="G10" s="106"/>
      <c r="H10" s="105"/>
    </row>
    <row r="11" spans="2:10" x14ac:dyDescent="0.25">
      <c r="B11" s="36" t="s">
        <v>269</v>
      </c>
      <c r="F11" s="107">
        <f t="shared" ref="F11" si="0">SUM(F5:F9)</f>
        <v>18413003.300000001</v>
      </c>
      <c r="G11" s="107"/>
      <c r="H11" s="107">
        <f>SUM(H5:H9)</f>
        <v>20979065.719999995</v>
      </c>
      <c r="J11" s="113"/>
    </row>
    <row r="12" spans="2:10" s="27" customFormat="1" hidden="1" x14ac:dyDescent="0.25">
      <c r="B12" s="27" t="s">
        <v>156</v>
      </c>
      <c r="E12" s="97"/>
    </row>
    <row r="13" spans="2:10" hidden="1" x14ac:dyDescent="0.25">
      <c r="B13" s="36" t="s">
        <v>110</v>
      </c>
    </row>
    <row r="14" spans="2:10" hidden="1" x14ac:dyDescent="0.25">
      <c r="B14" s="36" t="s">
        <v>143</v>
      </c>
      <c r="F14" s="108" t="s">
        <v>144</v>
      </c>
      <c r="G14" s="108"/>
      <c r="H14" s="108" t="s">
        <v>145</v>
      </c>
    </row>
    <row r="15" spans="2:10" hidden="1" x14ac:dyDescent="0.25">
      <c r="B15" s="36" t="s">
        <v>138</v>
      </c>
      <c r="F15" s="100" t="s">
        <v>120</v>
      </c>
      <c r="G15" s="100"/>
      <c r="H15" s="100" t="s">
        <v>120</v>
      </c>
    </row>
    <row r="16" spans="2:10" hidden="1" x14ac:dyDescent="0.25">
      <c r="B16" s="36" t="s">
        <v>139</v>
      </c>
      <c r="F16" s="100" t="s">
        <v>120</v>
      </c>
      <c r="G16" s="100"/>
      <c r="H16" s="100" t="s">
        <v>120</v>
      </c>
    </row>
    <row r="17" spans="2:8" hidden="1" x14ac:dyDescent="0.25">
      <c r="F17" s="100" t="s">
        <v>120</v>
      </c>
      <c r="G17" s="100"/>
      <c r="H17" s="100" t="s">
        <v>120</v>
      </c>
    </row>
    <row r="18" spans="2:8" ht="15.75" hidden="1" thickBot="1" x14ac:dyDescent="0.3">
      <c r="B18" s="36" t="s">
        <v>111</v>
      </c>
      <c r="F18" s="105" t="s">
        <v>120</v>
      </c>
      <c r="G18" s="105"/>
      <c r="H18" s="105" t="s">
        <v>120</v>
      </c>
    </row>
    <row r="19" spans="2:8" hidden="1" x14ac:dyDescent="0.25"/>
    <row r="20" spans="2:8" s="27" customFormat="1" hidden="1" x14ac:dyDescent="0.25">
      <c r="B20" s="27" t="s">
        <v>157</v>
      </c>
      <c r="E20" s="97"/>
    </row>
    <row r="21" spans="2:8" hidden="1" x14ac:dyDescent="0.25">
      <c r="B21" s="36" t="s">
        <v>112</v>
      </c>
    </row>
    <row r="22" spans="2:8" hidden="1" x14ac:dyDescent="0.25">
      <c r="B22" s="36" t="s">
        <v>143</v>
      </c>
      <c r="F22" s="108" t="s">
        <v>144</v>
      </c>
      <c r="G22" s="108"/>
      <c r="H22" s="108" t="s">
        <v>145</v>
      </c>
    </row>
    <row r="23" spans="2:8" hidden="1" x14ac:dyDescent="0.25">
      <c r="B23" s="36" t="s">
        <v>140</v>
      </c>
      <c r="F23" s="108" t="s">
        <v>120</v>
      </c>
      <c r="G23" s="108"/>
      <c r="H23" s="108" t="s">
        <v>120</v>
      </c>
    </row>
    <row r="24" spans="2:8" hidden="1" x14ac:dyDescent="0.25">
      <c r="B24" s="36" t="s">
        <v>140</v>
      </c>
      <c r="F24" s="108" t="s">
        <v>120</v>
      </c>
      <c r="G24" s="108"/>
      <c r="H24" s="108" t="s">
        <v>120</v>
      </c>
    </row>
    <row r="25" spans="2:8" hidden="1" x14ac:dyDescent="0.25">
      <c r="B25" s="36" t="s">
        <v>133</v>
      </c>
      <c r="F25" s="108" t="s">
        <v>120</v>
      </c>
      <c r="G25" s="108"/>
      <c r="H25" s="108" t="s">
        <v>120</v>
      </c>
    </row>
    <row r="26" spans="2:8" ht="15.75" hidden="1" thickBot="1" x14ac:dyDescent="0.3">
      <c r="F26" s="105" t="s">
        <v>120</v>
      </c>
      <c r="G26" s="105"/>
      <c r="H26" s="105" t="s">
        <v>120</v>
      </c>
    </row>
    <row r="27" spans="2:8" hidden="1" x14ac:dyDescent="0.25"/>
    <row r="28" spans="2:8" s="27" customFormat="1" hidden="1" x14ac:dyDescent="0.25">
      <c r="B28" s="27" t="s">
        <v>158</v>
      </c>
      <c r="E28" s="97"/>
    </row>
    <row r="29" spans="2:8" hidden="1" x14ac:dyDescent="0.25">
      <c r="B29" s="36" t="s">
        <v>113</v>
      </c>
    </row>
    <row r="30" spans="2:8" hidden="1" x14ac:dyDescent="0.25">
      <c r="B30" s="36" t="s">
        <v>143</v>
      </c>
      <c r="F30" s="108" t="s">
        <v>144</v>
      </c>
      <c r="G30" s="108"/>
      <c r="H30" s="108" t="s">
        <v>145</v>
      </c>
    </row>
    <row r="31" spans="2:8" hidden="1" x14ac:dyDescent="0.25">
      <c r="B31" s="36" t="s">
        <v>140</v>
      </c>
      <c r="F31" s="108" t="s">
        <v>120</v>
      </c>
      <c r="G31" s="108"/>
      <c r="H31" s="108" t="s">
        <v>120</v>
      </c>
    </row>
    <row r="32" spans="2:8" hidden="1" x14ac:dyDescent="0.25">
      <c r="B32" s="36" t="s">
        <v>142</v>
      </c>
      <c r="F32" s="108" t="s">
        <v>120</v>
      </c>
      <c r="G32" s="108"/>
      <c r="H32" s="108" t="s">
        <v>120</v>
      </c>
    </row>
    <row r="33" spans="2:9" hidden="1" x14ac:dyDescent="0.25">
      <c r="B33" s="36" t="s">
        <v>141</v>
      </c>
      <c r="F33" s="108" t="s">
        <v>120</v>
      </c>
      <c r="G33" s="108"/>
      <c r="H33" s="108" t="s">
        <v>120</v>
      </c>
    </row>
    <row r="34" spans="2:9" hidden="1" x14ac:dyDescent="0.25">
      <c r="B34" s="36" t="s">
        <v>134</v>
      </c>
      <c r="F34" s="108" t="s">
        <v>120</v>
      </c>
      <c r="G34" s="108"/>
      <c r="H34" s="108" t="s">
        <v>120</v>
      </c>
    </row>
    <row r="35" spans="2:9" ht="15.75" hidden="1" thickBot="1" x14ac:dyDescent="0.3">
      <c r="F35" s="105" t="s">
        <v>120</v>
      </c>
      <c r="G35" s="105"/>
      <c r="H35" s="105" t="s">
        <v>120</v>
      </c>
    </row>
    <row r="36" spans="2:9" x14ac:dyDescent="0.25">
      <c r="F36" s="101"/>
      <c r="G36" s="296"/>
      <c r="H36" s="106"/>
    </row>
    <row r="37" spans="2:9" s="27" customFormat="1" x14ac:dyDescent="0.25">
      <c r="B37" s="27" t="s">
        <v>159</v>
      </c>
      <c r="E37" s="97"/>
    </row>
    <row r="38" spans="2:9" x14ac:dyDescent="0.25">
      <c r="B38" s="36" t="s">
        <v>318</v>
      </c>
    </row>
    <row r="39" spans="2:9" s="27" customFormat="1" x14ac:dyDescent="0.25">
      <c r="B39" s="27" t="s">
        <v>143</v>
      </c>
      <c r="E39" s="97"/>
      <c r="F39" s="99">
        <v>2021</v>
      </c>
      <c r="G39" s="99"/>
      <c r="H39" s="99">
        <v>2020</v>
      </c>
    </row>
    <row r="40" spans="2:9" x14ac:dyDescent="0.25">
      <c r="B40" s="36" t="s">
        <v>255</v>
      </c>
      <c r="F40" s="109">
        <v>169400</v>
      </c>
      <c r="G40" s="110"/>
      <c r="H40" s="109">
        <v>0</v>
      </c>
    </row>
    <row r="41" spans="2:9" x14ac:dyDescent="0.25">
      <c r="B41" s="36" t="s">
        <v>246</v>
      </c>
      <c r="F41" s="111">
        <v>27730</v>
      </c>
      <c r="G41" s="112"/>
      <c r="H41" s="111">
        <v>77880</v>
      </c>
    </row>
    <row r="42" spans="2:9" x14ac:dyDescent="0.25">
      <c r="B42" s="36" t="s">
        <v>183</v>
      </c>
      <c r="F42" s="111"/>
      <c r="G42" s="112"/>
      <c r="H42" s="111">
        <v>240451.45</v>
      </c>
      <c r="I42" s="113"/>
    </row>
    <row r="43" spans="2:9" x14ac:dyDescent="0.25">
      <c r="B43" s="36" t="s">
        <v>184</v>
      </c>
      <c r="F43" s="111"/>
      <c r="G43" s="112"/>
      <c r="H43" s="111">
        <v>0</v>
      </c>
      <c r="I43" s="113"/>
    </row>
    <row r="44" spans="2:9" x14ac:dyDescent="0.25">
      <c r="B44" s="36" t="s">
        <v>185</v>
      </c>
      <c r="F44" s="111">
        <f>2313+151800+19860.75</f>
        <v>173973.75</v>
      </c>
      <c r="G44" s="112"/>
      <c r="H44" s="111">
        <v>125973.7</v>
      </c>
    </row>
    <row r="45" spans="2:9" x14ac:dyDescent="0.25">
      <c r="B45" s="36" t="s">
        <v>247</v>
      </c>
      <c r="F45" s="111">
        <f>39294+18054+37701+3150+4600+3144+14089+2000+48370+51089+65208+25344+17248+4216+19500+4900+4215</f>
        <v>362122</v>
      </c>
      <c r="G45" s="112"/>
      <c r="H45" s="111">
        <v>185154.22</v>
      </c>
    </row>
    <row r="46" spans="2:9" x14ac:dyDescent="0.25">
      <c r="B46" s="36" t="s">
        <v>258</v>
      </c>
      <c r="F46" s="111"/>
      <c r="G46" s="112"/>
      <c r="H46" s="111">
        <v>0</v>
      </c>
    </row>
    <row r="47" spans="2:9" x14ac:dyDescent="0.25">
      <c r="B47" s="36" t="s">
        <v>248</v>
      </c>
      <c r="F47" s="111">
        <f>129564+17653+780+95445.44</f>
        <v>243442.44</v>
      </c>
      <c r="G47" s="112"/>
      <c r="H47" s="111">
        <v>286398.64</v>
      </c>
    </row>
    <row r="48" spans="2:9" x14ac:dyDescent="0.25">
      <c r="B48" s="36" t="s">
        <v>249</v>
      </c>
      <c r="F48" s="111">
        <v>87000</v>
      </c>
      <c r="G48" s="112"/>
      <c r="H48" s="111">
        <v>139807.1</v>
      </c>
    </row>
    <row r="49" spans="2:11" x14ac:dyDescent="0.25">
      <c r="B49" s="36" t="s">
        <v>250</v>
      </c>
      <c r="F49" s="111"/>
      <c r="G49" s="112"/>
      <c r="H49" s="111">
        <v>1486.8000000000002</v>
      </c>
    </row>
    <row r="50" spans="2:11" x14ac:dyDescent="0.25">
      <c r="B50" s="36" t="s">
        <v>251</v>
      </c>
      <c r="F50" s="111">
        <f>605+14405</f>
        <v>15010</v>
      </c>
      <c r="G50" s="112"/>
      <c r="H50" s="111">
        <v>75031.5</v>
      </c>
    </row>
    <row r="51" spans="2:11" x14ac:dyDescent="0.25">
      <c r="B51" s="36" t="s">
        <v>197</v>
      </c>
      <c r="F51" s="111">
        <f>15920+120000</f>
        <v>135920</v>
      </c>
      <c r="G51" s="112"/>
      <c r="H51" s="111">
        <v>14595</v>
      </c>
    </row>
    <row r="52" spans="2:11" x14ac:dyDescent="0.25">
      <c r="B52" s="36" t="s">
        <v>252</v>
      </c>
      <c r="F52" s="111">
        <f>12600+2320</f>
        <v>14920</v>
      </c>
      <c r="G52" s="112"/>
      <c r="H52" s="111">
        <v>33930</v>
      </c>
      <c r="J52" s="114"/>
    </row>
    <row r="53" spans="2:11" x14ac:dyDescent="0.25">
      <c r="B53" s="36" t="s">
        <v>259</v>
      </c>
      <c r="F53" s="111"/>
      <c r="G53" s="112"/>
      <c r="H53" s="111">
        <v>0</v>
      </c>
      <c r="I53" s="114"/>
    </row>
    <row r="54" spans="2:11" x14ac:dyDescent="0.25">
      <c r="B54" s="36" t="s">
        <v>253</v>
      </c>
      <c r="F54" s="111">
        <f>1680+31220+900</f>
        <v>33800</v>
      </c>
      <c r="G54" s="112"/>
      <c r="H54" s="111">
        <v>58875.54</v>
      </c>
      <c r="I54" s="114"/>
    </row>
    <row r="55" spans="2:11" x14ac:dyDescent="0.25">
      <c r="B55" s="36" t="s">
        <v>254</v>
      </c>
      <c r="F55" s="111">
        <f>5062+1320+9180+8645+720+220+11520+2070+114+720+473+12950+350+20003+2080+3420+3088+2656.25+2749</f>
        <v>87340.25</v>
      </c>
      <c r="G55" s="112"/>
      <c r="H55" s="111">
        <v>266552.59999999998</v>
      </c>
      <c r="I55" s="114"/>
    </row>
    <row r="56" spans="2:11" x14ac:dyDescent="0.25">
      <c r="B56" s="36" t="s">
        <v>257</v>
      </c>
      <c r="F56" s="111">
        <f>616+5387</f>
        <v>6003</v>
      </c>
      <c r="G56" s="112"/>
      <c r="H56" s="111">
        <v>0</v>
      </c>
    </row>
    <row r="57" spans="2:11" x14ac:dyDescent="0.25">
      <c r="B57" s="36" t="s">
        <v>256</v>
      </c>
      <c r="F57" s="115">
        <f>616+5387+9180</f>
        <v>15183</v>
      </c>
      <c r="G57" s="112"/>
      <c r="H57" s="115">
        <v>0</v>
      </c>
    </row>
    <row r="58" spans="2:11" hidden="1" x14ac:dyDescent="0.25">
      <c r="F58" s="115">
        <v>0</v>
      </c>
      <c r="G58" s="112"/>
      <c r="H58" s="115">
        <v>0</v>
      </c>
      <c r="I58" s="116"/>
    </row>
    <row r="59" spans="2:11" x14ac:dyDescent="0.25">
      <c r="F59" s="117">
        <f>SUM(F40:F57)</f>
        <v>1371844.44</v>
      </c>
      <c r="G59" s="117"/>
      <c r="H59" s="117">
        <f>SUM(H40:H56)</f>
        <v>1506136.5500000003</v>
      </c>
      <c r="I59" s="118"/>
      <c r="J59" s="114"/>
      <c r="K59" s="114"/>
    </row>
    <row r="60" spans="2:11" s="27" customFormat="1" hidden="1" x14ac:dyDescent="0.25">
      <c r="B60" s="27" t="s">
        <v>114</v>
      </c>
      <c r="E60" s="97"/>
    </row>
    <row r="61" spans="2:11" hidden="1" x14ac:dyDescent="0.25">
      <c r="B61" s="36" t="s">
        <v>160</v>
      </c>
    </row>
    <row r="62" spans="2:11" hidden="1" x14ac:dyDescent="0.25">
      <c r="B62" s="36" t="s">
        <v>148</v>
      </c>
      <c r="F62" s="108">
        <v>2020</v>
      </c>
      <c r="G62" s="108"/>
      <c r="H62" s="108">
        <v>2019</v>
      </c>
    </row>
    <row r="63" spans="2:11" hidden="1" x14ac:dyDescent="0.25">
      <c r="B63" s="36" t="s">
        <v>139</v>
      </c>
      <c r="F63" s="108" t="s">
        <v>120</v>
      </c>
      <c r="G63" s="108"/>
      <c r="H63" s="108" t="s">
        <v>120</v>
      </c>
    </row>
    <row r="64" spans="2:11" hidden="1" x14ac:dyDescent="0.25">
      <c r="B64" s="36" t="s">
        <v>140</v>
      </c>
      <c r="F64" s="108" t="s">
        <v>120</v>
      </c>
      <c r="G64" s="108"/>
      <c r="H64" s="108" t="s">
        <v>120</v>
      </c>
    </row>
    <row r="65" spans="2:12" ht="15.75" hidden="1" thickBot="1" x14ac:dyDescent="0.3">
      <c r="B65" s="36" t="s">
        <v>149</v>
      </c>
      <c r="F65" s="105" t="s">
        <v>120</v>
      </c>
      <c r="G65" s="105"/>
      <c r="H65" s="105" t="s">
        <v>120</v>
      </c>
    </row>
    <row r="66" spans="2:12" hidden="1" x14ac:dyDescent="0.25">
      <c r="B66" s="27" t="s">
        <v>161</v>
      </c>
    </row>
    <row r="67" spans="2:12" hidden="1" x14ac:dyDescent="0.25">
      <c r="B67" s="36" t="s">
        <v>115</v>
      </c>
    </row>
    <row r="68" spans="2:12" hidden="1" x14ac:dyDescent="0.25">
      <c r="B68" s="36" t="s">
        <v>148</v>
      </c>
      <c r="F68" s="108" t="s">
        <v>144</v>
      </c>
      <c r="G68" s="108"/>
      <c r="H68" s="108" t="s">
        <v>145</v>
      </c>
    </row>
    <row r="69" spans="2:12" hidden="1" x14ac:dyDescent="0.25">
      <c r="B69" s="36" t="s">
        <v>139</v>
      </c>
      <c r="F69" s="108" t="s">
        <v>120</v>
      </c>
      <c r="G69" s="108"/>
      <c r="H69" s="108" t="s">
        <v>120</v>
      </c>
    </row>
    <row r="70" spans="2:12" hidden="1" x14ac:dyDescent="0.25">
      <c r="B70" s="36" t="s">
        <v>139</v>
      </c>
      <c r="F70" s="108" t="s">
        <v>120</v>
      </c>
      <c r="G70" s="108"/>
      <c r="H70" s="108" t="s">
        <v>120</v>
      </c>
    </row>
    <row r="71" spans="2:12" ht="15.75" hidden="1" thickBot="1" x14ac:dyDescent="0.3">
      <c r="B71" s="36" t="s">
        <v>147</v>
      </c>
      <c r="F71" s="105" t="s">
        <v>120</v>
      </c>
      <c r="G71" s="105"/>
      <c r="H71" s="105" t="s">
        <v>120</v>
      </c>
    </row>
    <row r="72" spans="2:12" hidden="1" x14ac:dyDescent="0.25"/>
    <row r="73" spans="2:12" x14ac:dyDescent="0.25">
      <c r="F73" s="113"/>
    </row>
    <row r="74" spans="2:12" x14ac:dyDescent="0.25">
      <c r="B74" s="27" t="s">
        <v>334</v>
      </c>
      <c r="F74" s="113"/>
    </row>
    <row r="75" spans="2:12" x14ac:dyDescent="0.25">
      <c r="B75" s="36" t="s">
        <v>339</v>
      </c>
      <c r="F75" s="113"/>
    </row>
    <row r="76" spans="2:12" ht="15.75" thickBot="1" x14ac:dyDescent="0.3">
      <c r="F76" s="113"/>
      <c r="J76" s="113"/>
    </row>
    <row r="77" spans="2:12" ht="30.75" thickBot="1" x14ac:dyDescent="0.3">
      <c r="B77" s="119" t="s">
        <v>340</v>
      </c>
      <c r="C77" s="120" t="s">
        <v>116</v>
      </c>
      <c r="D77" s="120" t="s">
        <v>117</v>
      </c>
      <c r="E77" s="121"/>
      <c r="F77" s="120" t="s">
        <v>118</v>
      </c>
      <c r="G77" s="122" t="s">
        <v>315</v>
      </c>
      <c r="H77" s="120" t="s">
        <v>316</v>
      </c>
      <c r="I77" s="121" t="s">
        <v>136</v>
      </c>
      <c r="J77" s="120" t="s">
        <v>119</v>
      </c>
      <c r="K77" s="113"/>
      <c r="L77" s="113"/>
    </row>
    <row r="78" spans="2:12" x14ac:dyDescent="0.25">
      <c r="B78" s="123" t="s">
        <v>342</v>
      </c>
      <c r="C78" s="124"/>
      <c r="D78" s="124"/>
      <c r="E78" s="124"/>
      <c r="F78" s="125">
        <f>+F102</f>
        <v>24023114.390000001</v>
      </c>
      <c r="G78" s="125">
        <f>+G102</f>
        <v>30348414.390000001</v>
      </c>
      <c r="H78" s="125">
        <f>+H102</f>
        <v>111968989.99000001</v>
      </c>
      <c r="I78" s="125">
        <v>0</v>
      </c>
      <c r="J78" s="126">
        <f>+J102</f>
        <v>166340518.77000001</v>
      </c>
      <c r="K78" s="113"/>
      <c r="L78" s="113"/>
    </row>
    <row r="79" spans="2:12" ht="15.75" thickBot="1" x14ac:dyDescent="0.3">
      <c r="B79" s="127" t="s">
        <v>121</v>
      </c>
      <c r="C79" s="128"/>
      <c r="D79" s="128"/>
      <c r="E79" s="128"/>
      <c r="F79" s="129">
        <v>5826279.5500000007</v>
      </c>
      <c r="G79" s="129">
        <v>1089932.4299999997</v>
      </c>
      <c r="H79" s="129">
        <v>4353327.2399999797</v>
      </c>
      <c r="I79" s="129"/>
      <c r="J79" s="129">
        <f>+F79+G79+H79</f>
        <v>11269539.21999998</v>
      </c>
      <c r="K79" s="113"/>
      <c r="L79" s="113"/>
    </row>
    <row r="80" spans="2:12" ht="15.75" hidden="1" thickBot="1" x14ac:dyDescent="0.3">
      <c r="B80" s="130" t="s">
        <v>137</v>
      </c>
      <c r="C80" s="128"/>
      <c r="D80" s="128"/>
      <c r="E80" s="128"/>
      <c r="F80" s="131"/>
      <c r="G80" s="131"/>
      <c r="H80" s="131"/>
      <c r="I80" s="131"/>
      <c r="J80" s="132">
        <f t="shared" ref="J80:J83" si="1">+J104</f>
        <v>61594984.760000005</v>
      </c>
      <c r="K80" s="113"/>
    </row>
    <row r="81" spans="2:13" ht="15.75" hidden="1" thickBot="1" x14ac:dyDescent="0.3">
      <c r="B81" s="133" t="s">
        <v>122</v>
      </c>
      <c r="C81" s="128"/>
      <c r="D81" s="128"/>
      <c r="E81" s="128"/>
      <c r="F81" s="131"/>
      <c r="G81" s="131"/>
      <c r="H81" s="131"/>
      <c r="I81" s="131"/>
      <c r="J81" s="126">
        <f t="shared" si="1"/>
        <v>24540454.240000002</v>
      </c>
    </row>
    <row r="82" spans="2:13" ht="15.75" hidden="1" thickBot="1" x14ac:dyDescent="0.3">
      <c r="B82" s="130" t="s">
        <v>274</v>
      </c>
      <c r="C82" s="128"/>
      <c r="D82" s="128"/>
      <c r="E82" s="128"/>
      <c r="F82" s="131"/>
      <c r="G82" s="131"/>
      <c r="H82" s="131"/>
      <c r="I82" s="131"/>
      <c r="J82" s="126">
        <f t="shared" si="1"/>
        <v>0</v>
      </c>
    </row>
    <row r="83" spans="2:13" ht="15.75" hidden="1" thickBot="1" x14ac:dyDescent="0.3">
      <c r="B83" s="130" t="s">
        <v>109</v>
      </c>
      <c r="C83" s="128"/>
      <c r="D83" s="128"/>
      <c r="E83" s="128"/>
      <c r="F83" s="131"/>
      <c r="G83" s="131"/>
      <c r="H83" s="131"/>
      <c r="I83" s="131"/>
      <c r="J83" s="126">
        <f t="shared" si="1"/>
        <v>86135439</v>
      </c>
    </row>
    <row r="84" spans="2:13" x14ac:dyDescent="0.25">
      <c r="B84" s="133" t="s">
        <v>123</v>
      </c>
      <c r="C84" s="128"/>
      <c r="D84" s="128"/>
      <c r="E84" s="128"/>
      <c r="F84" s="134">
        <f>+F78+F79</f>
        <v>29849393.940000001</v>
      </c>
      <c r="G84" s="134">
        <f t="shared" ref="G84:H84" si="2">+G78+G79</f>
        <v>31438346.82</v>
      </c>
      <c r="H84" s="134">
        <f t="shared" si="2"/>
        <v>116322317.22999999</v>
      </c>
      <c r="I84" s="134"/>
      <c r="J84" s="135">
        <f>+J78+J79</f>
        <v>177610057.98999998</v>
      </c>
      <c r="K84" s="113"/>
      <c r="L84" s="113"/>
    </row>
    <row r="85" spans="2:13" ht="9.75" hidden="1" customHeight="1" x14ac:dyDescent="0.25">
      <c r="B85" s="130"/>
      <c r="C85" s="128"/>
      <c r="D85" s="128"/>
      <c r="E85" s="128"/>
      <c r="F85" s="136"/>
      <c r="G85" s="136"/>
      <c r="H85" s="136"/>
      <c r="I85" s="136"/>
      <c r="J85" s="137"/>
    </row>
    <row r="86" spans="2:13" x14ac:dyDescent="0.25">
      <c r="B86" s="130"/>
      <c r="C86" s="128"/>
      <c r="D86" s="128"/>
      <c r="E86" s="128"/>
      <c r="F86" s="136"/>
      <c r="G86" s="136"/>
      <c r="H86" s="136"/>
      <c r="I86" s="136"/>
      <c r="J86" s="137"/>
    </row>
    <row r="87" spans="2:13" x14ac:dyDescent="0.25">
      <c r="B87" s="127" t="s">
        <v>124</v>
      </c>
      <c r="C87" s="128"/>
      <c r="D87" s="128"/>
      <c r="E87" s="128"/>
      <c r="F87" s="136">
        <f>+F107</f>
        <v>10992358.630000001</v>
      </c>
      <c r="G87" s="136">
        <f>+G107</f>
        <v>11322331.029999999</v>
      </c>
      <c r="H87" s="136">
        <f>+H107</f>
        <v>63820749.340000004</v>
      </c>
      <c r="I87" s="136"/>
      <c r="J87" s="137">
        <f>+J107</f>
        <v>86135439</v>
      </c>
      <c r="K87" s="113"/>
    </row>
    <row r="88" spans="2:13" x14ac:dyDescent="0.25">
      <c r="B88" s="133" t="s">
        <v>125</v>
      </c>
      <c r="C88" s="128"/>
      <c r="D88" s="128"/>
      <c r="E88" s="128"/>
      <c r="F88" s="129">
        <v>2246852.5000000093</v>
      </c>
      <c r="G88" s="129">
        <v>8996339.5800000038</v>
      </c>
      <c r="H88" s="129">
        <v>14155704.77</v>
      </c>
      <c r="I88" s="129"/>
      <c r="J88" s="137">
        <f>+F88+G88+H88</f>
        <v>25398896.850000013</v>
      </c>
      <c r="K88" s="113"/>
      <c r="M88" s="114"/>
    </row>
    <row r="89" spans="2:13" hidden="1" x14ac:dyDescent="0.25">
      <c r="B89" s="130" t="s">
        <v>275</v>
      </c>
      <c r="C89" s="128"/>
      <c r="D89" s="128"/>
      <c r="E89" s="128"/>
      <c r="F89" s="131"/>
      <c r="G89" s="131"/>
      <c r="H89" s="131"/>
      <c r="I89" s="131"/>
      <c r="J89" s="138"/>
      <c r="K89" s="113"/>
      <c r="L89" s="113"/>
    </row>
    <row r="90" spans="2:13" ht="15.75" thickBot="1" x14ac:dyDescent="0.3">
      <c r="B90" s="127" t="s">
        <v>123</v>
      </c>
      <c r="C90" s="128"/>
      <c r="D90" s="128"/>
      <c r="E90" s="128"/>
      <c r="F90" s="139">
        <f>+F87+F88</f>
        <v>13239211.13000001</v>
      </c>
      <c r="G90" s="139">
        <f t="shared" ref="G90:J90" si="3">+G87+G88</f>
        <v>20318670.610000003</v>
      </c>
      <c r="H90" s="139">
        <f t="shared" si="3"/>
        <v>77976454.109999999</v>
      </c>
      <c r="I90" s="139">
        <f t="shared" si="3"/>
        <v>0</v>
      </c>
      <c r="J90" s="140">
        <f t="shared" si="3"/>
        <v>111534335.85000001</v>
      </c>
      <c r="K90" s="113"/>
      <c r="L90" s="113"/>
    </row>
    <row r="91" spans="2:13" ht="15.75" thickTop="1" x14ac:dyDescent="0.25">
      <c r="B91" s="133" t="s">
        <v>317</v>
      </c>
      <c r="C91" s="128"/>
      <c r="D91" s="128"/>
      <c r="E91" s="128"/>
      <c r="F91" s="134">
        <f>+F84-F90</f>
        <v>16610182.809999991</v>
      </c>
      <c r="G91" s="134">
        <f t="shared" ref="G91:J91" si="4">+G84-G90</f>
        <v>11119676.209999997</v>
      </c>
      <c r="H91" s="134">
        <f t="shared" si="4"/>
        <v>38345863.11999999</v>
      </c>
      <c r="I91" s="134">
        <f t="shared" si="4"/>
        <v>0</v>
      </c>
      <c r="J91" s="134">
        <f t="shared" si="4"/>
        <v>66075722.139999971</v>
      </c>
      <c r="K91" s="113"/>
      <c r="L91" s="113"/>
      <c r="M91" s="141"/>
    </row>
    <row r="92" spans="2:13" ht="15.75" thickBot="1" x14ac:dyDescent="0.3">
      <c r="B92" s="142"/>
      <c r="C92" s="143"/>
      <c r="D92" s="143"/>
      <c r="E92" s="143"/>
      <c r="F92" s="144"/>
      <c r="G92" s="144"/>
      <c r="H92" s="144"/>
      <c r="I92" s="144"/>
      <c r="J92" s="145"/>
      <c r="K92" s="113"/>
      <c r="L92" s="113"/>
      <c r="M92" s="141"/>
    </row>
    <row r="93" spans="2:13" x14ac:dyDescent="0.25">
      <c r="C93" s="146"/>
      <c r="D93" s="146"/>
      <c r="E93" s="146"/>
      <c r="F93" s="117"/>
      <c r="G93" s="117"/>
      <c r="H93" s="117"/>
      <c r="I93" s="117"/>
      <c r="J93" s="117"/>
      <c r="K93" s="113"/>
      <c r="L93" s="113"/>
      <c r="M93" s="141"/>
    </row>
    <row r="94" spans="2:13" ht="15.75" thickBot="1" x14ac:dyDescent="0.3">
      <c r="C94" s="146"/>
      <c r="D94" s="146"/>
      <c r="E94" s="146"/>
      <c r="F94" s="117"/>
      <c r="G94" s="117"/>
      <c r="H94" s="117"/>
      <c r="I94" s="117"/>
      <c r="J94" s="117"/>
      <c r="K94" s="113"/>
      <c r="L94" s="113"/>
      <c r="M94" s="141"/>
    </row>
    <row r="95" spans="2:13" ht="30.75" thickBot="1" x14ac:dyDescent="0.3">
      <c r="B95" s="147" t="s">
        <v>340</v>
      </c>
      <c r="C95" s="148" t="s">
        <v>116</v>
      </c>
      <c r="D95" s="148" t="s">
        <v>117</v>
      </c>
      <c r="E95" s="149"/>
      <c r="F95" s="150" t="s">
        <v>118</v>
      </c>
      <c r="G95" s="151" t="s">
        <v>315</v>
      </c>
      <c r="H95" s="150" t="s">
        <v>316</v>
      </c>
      <c r="I95" s="152" t="s">
        <v>136</v>
      </c>
      <c r="J95" s="153" t="s">
        <v>119</v>
      </c>
      <c r="K95" s="113"/>
      <c r="L95" s="113"/>
      <c r="M95" s="141"/>
    </row>
    <row r="96" spans="2:13" x14ac:dyDescent="0.25">
      <c r="B96" s="123" t="s">
        <v>343</v>
      </c>
      <c r="C96" s="124"/>
      <c r="D96" s="124"/>
      <c r="E96" s="124"/>
      <c r="F96" s="125">
        <v>19586166.260000002</v>
      </c>
      <c r="G96" s="125">
        <v>27712205</v>
      </c>
      <c r="H96" s="125">
        <v>86144443.170000002</v>
      </c>
      <c r="I96" s="125">
        <v>0</v>
      </c>
      <c r="J96" s="126">
        <f>+F96+G96+H96</f>
        <v>133442814.43000001</v>
      </c>
      <c r="K96" s="113"/>
      <c r="L96" s="113"/>
      <c r="M96" s="141"/>
    </row>
    <row r="97" spans="2:13" x14ac:dyDescent="0.25">
      <c r="B97" s="127" t="s">
        <v>121</v>
      </c>
      <c r="C97" s="128"/>
      <c r="D97" s="128"/>
      <c r="E97" s="128"/>
      <c r="F97" s="129">
        <v>4436948.13</v>
      </c>
      <c r="G97" s="129">
        <v>2636209.39</v>
      </c>
      <c r="H97" s="129">
        <v>25824546.82</v>
      </c>
      <c r="I97" s="129"/>
      <c r="J97" s="154">
        <f>+F97+G97+H97</f>
        <v>32897704.34</v>
      </c>
      <c r="K97" s="113"/>
      <c r="L97" s="113"/>
      <c r="M97" s="141"/>
    </row>
    <row r="98" spans="2:13" hidden="1" x14ac:dyDescent="0.25">
      <c r="B98" s="130" t="s">
        <v>137</v>
      </c>
      <c r="C98" s="128"/>
      <c r="D98" s="128"/>
      <c r="E98" s="128"/>
      <c r="F98" s="131"/>
      <c r="G98" s="131"/>
      <c r="H98" s="131"/>
      <c r="I98" s="131"/>
      <c r="J98" s="138"/>
      <c r="K98" s="113"/>
      <c r="L98" s="113"/>
      <c r="M98" s="141"/>
    </row>
    <row r="99" spans="2:13" hidden="1" x14ac:dyDescent="0.25">
      <c r="B99" s="133" t="s">
        <v>122</v>
      </c>
      <c r="C99" s="128"/>
      <c r="D99" s="128"/>
      <c r="E99" s="128"/>
      <c r="F99" s="131"/>
      <c r="G99" s="131"/>
      <c r="H99" s="131"/>
      <c r="I99" s="131"/>
      <c r="J99" s="138"/>
      <c r="K99" s="113"/>
      <c r="L99" s="113"/>
      <c r="M99" s="141"/>
    </row>
    <row r="100" spans="2:13" hidden="1" x14ac:dyDescent="0.25">
      <c r="B100" s="130" t="s">
        <v>274</v>
      </c>
      <c r="C100" s="128"/>
      <c r="D100" s="128"/>
      <c r="E100" s="128"/>
      <c r="F100" s="131"/>
      <c r="G100" s="131"/>
      <c r="H100" s="131"/>
      <c r="I100" s="131"/>
      <c r="J100" s="138"/>
      <c r="K100" s="113"/>
      <c r="L100" s="113"/>
      <c r="M100" s="141"/>
    </row>
    <row r="101" spans="2:13" hidden="1" x14ac:dyDescent="0.25">
      <c r="B101" s="130" t="s">
        <v>109</v>
      </c>
      <c r="C101" s="128"/>
      <c r="D101" s="128"/>
      <c r="E101" s="128"/>
      <c r="F101" s="131"/>
      <c r="G101" s="131"/>
      <c r="H101" s="131"/>
      <c r="I101" s="131"/>
      <c r="J101" s="138"/>
      <c r="K101" s="113"/>
      <c r="L101" s="113"/>
      <c r="M101" s="141"/>
    </row>
    <row r="102" spans="2:13" x14ac:dyDescent="0.25">
      <c r="B102" s="133" t="s">
        <v>123</v>
      </c>
      <c r="C102" s="128"/>
      <c r="D102" s="128"/>
      <c r="E102" s="128"/>
      <c r="F102" s="134">
        <f>+F96+F97</f>
        <v>24023114.390000001</v>
      </c>
      <c r="G102" s="134">
        <f>+G96+G97</f>
        <v>30348414.390000001</v>
      </c>
      <c r="H102" s="134">
        <f>+H96+H97</f>
        <v>111968989.99000001</v>
      </c>
      <c r="I102" s="134">
        <v>0</v>
      </c>
      <c r="J102" s="155">
        <f>+J96+J97</f>
        <v>166340518.77000001</v>
      </c>
      <c r="K102" s="113"/>
      <c r="L102" s="113"/>
      <c r="M102" s="141"/>
    </row>
    <row r="103" spans="2:13" x14ac:dyDescent="0.25">
      <c r="B103" s="130"/>
      <c r="C103" s="128"/>
      <c r="D103" s="128"/>
      <c r="E103" s="128"/>
      <c r="F103" s="136"/>
      <c r="G103" s="136"/>
      <c r="H103" s="136"/>
      <c r="I103" s="136"/>
      <c r="J103" s="137"/>
      <c r="K103" s="113"/>
      <c r="L103" s="113"/>
      <c r="M103" s="141"/>
    </row>
    <row r="104" spans="2:13" x14ac:dyDescent="0.25">
      <c r="B104" s="127" t="s">
        <v>124</v>
      </c>
      <c r="C104" s="128"/>
      <c r="D104" s="128"/>
      <c r="E104" s="128"/>
      <c r="F104" s="136">
        <v>7615896.2000000002</v>
      </c>
      <c r="G104" s="136">
        <v>8025479.4299999997</v>
      </c>
      <c r="H104" s="136">
        <v>45953609.130000003</v>
      </c>
      <c r="I104" s="136"/>
      <c r="J104" s="137">
        <f>+F104+G104+H104</f>
        <v>61594984.760000005</v>
      </c>
      <c r="K104" s="113"/>
      <c r="L104" s="113"/>
      <c r="M104" s="141"/>
    </row>
    <row r="105" spans="2:13" x14ac:dyDescent="0.25">
      <c r="B105" s="133" t="s">
        <v>125</v>
      </c>
      <c r="C105" s="128"/>
      <c r="D105" s="128"/>
      <c r="E105" s="128"/>
      <c r="F105" s="129">
        <v>3376462.43</v>
      </c>
      <c r="G105" s="129">
        <v>3296851.6</v>
      </c>
      <c r="H105" s="129">
        <v>17867140.210000001</v>
      </c>
      <c r="I105" s="129"/>
      <c r="J105" s="154">
        <f>+F105+G105+H105</f>
        <v>24540454.240000002</v>
      </c>
      <c r="K105" s="113"/>
      <c r="L105" s="113"/>
      <c r="M105" s="141"/>
    </row>
    <row r="106" spans="2:13" hidden="1" x14ac:dyDescent="0.25">
      <c r="B106" s="130" t="s">
        <v>275</v>
      </c>
      <c r="C106" s="128"/>
      <c r="D106" s="128"/>
      <c r="E106" s="128"/>
      <c r="F106" s="131"/>
      <c r="G106" s="131"/>
      <c r="H106" s="131"/>
      <c r="I106" s="131"/>
      <c r="J106" s="138"/>
      <c r="K106" s="113"/>
      <c r="L106" s="113"/>
      <c r="M106" s="141"/>
    </row>
    <row r="107" spans="2:13" ht="15.75" thickBot="1" x14ac:dyDescent="0.3">
      <c r="B107" s="127" t="s">
        <v>123</v>
      </c>
      <c r="C107" s="128"/>
      <c r="D107" s="128"/>
      <c r="E107" s="128"/>
      <c r="F107" s="139">
        <f>+F104+F105</f>
        <v>10992358.630000001</v>
      </c>
      <c r="G107" s="139">
        <f>+G104+G105</f>
        <v>11322331.029999999</v>
      </c>
      <c r="H107" s="139">
        <f>+H104+H105</f>
        <v>63820749.340000004</v>
      </c>
      <c r="I107" s="139">
        <v>0</v>
      </c>
      <c r="J107" s="140">
        <f>+J104+J105</f>
        <v>86135439</v>
      </c>
      <c r="K107" s="113"/>
      <c r="L107" s="113"/>
      <c r="M107" s="141"/>
    </row>
    <row r="108" spans="2:13" ht="15.75" thickTop="1" x14ac:dyDescent="0.25">
      <c r="B108" s="133" t="s">
        <v>341</v>
      </c>
      <c r="C108" s="128"/>
      <c r="D108" s="128"/>
      <c r="E108" s="128"/>
      <c r="F108" s="134">
        <f>+F102-F107</f>
        <v>13030755.76</v>
      </c>
      <c r="G108" s="134">
        <f>+G102-G107</f>
        <v>19026083.359999999</v>
      </c>
      <c r="H108" s="134">
        <f>+H102-H107</f>
        <v>48148240.650000006</v>
      </c>
      <c r="I108" s="134">
        <v>0</v>
      </c>
      <c r="J108" s="155">
        <f>+J102-J107</f>
        <v>80205079.770000011</v>
      </c>
      <c r="K108" s="113"/>
      <c r="L108" s="113"/>
      <c r="M108" s="141"/>
    </row>
    <row r="109" spans="2:13" ht="15.75" thickBot="1" x14ac:dyDescent="0.3">
      <c r="B109" s="142"/>
      <c r="C109" s="156"/>
      <c r="D109" s="156"/>
      <c r="E109" s="156"/>
      <c r="F109" s="157"/>
      <c r="G109" s="156"/>
      <c r="H109" s="156"/>
      <c r="I109" s="156"/>
      <c r="J109" s="158"/>
      <c r="K109" s="113"/>
    </row>
    <row r="110" spans="2:13" x14ac:dyDescent="0.25">
      <c r="B110" s="98"/>
      <c r="C110" s="98"/>
      <c r="D110" s="98"/>
      <c r="F110" s="159"/>
      <c r="G110" s="98"/>
      <c r="H110" s="98"/>
      <c r="I110" s="98"/>
      <c r="J110" s="98"/>
      <c r="K110" s="113"/>
    </row>
    <row r="111" spans="2:13" x14ac:dyDescent="0.25">
      <c r="B111" s="98"/>
      <c r="C111" s="98"/>
      <c r="D111" s="98"/>
      <c r="F111" s="159"/>
      <c r="G111" s="98"/>
      <c r="H111" s="98"/>
      <c r="I111" s="98"/>
      <c r="J111" s="98"/>
      <c r="K111" s="113"/>
    </row>
    <row r="112" spans="2:13" x14ac:dyDescent="0.25">
      <c r="B112" s="98"/>
      <c r="C112" s="98"/>
      <c r="D112" s="98"/>
      <c r="F112" s="159"/>
      <c r="G112" s="98"/>
      <c r="H112" s="98"/>
      <c r="I112" s="98"/>
      <c r="J112" s="98"/>
      <c r="K112" s="113"/>
    </row>
    <row r="113" spans="2:13" x14ac:dyDescent="0.25">
      <c r="B113" s="98"/>
      <c r="C113" s="98"/>
      <c r="D113" s="98"/>
      <c r="F113" s="159"/>
      <c r="G113" s="98"/>
      <c r="H113" s="98"/>
      <c r="I113" s="98"/>
      <c r="J113" s="98"/>
      <c r="K113" s="113"/>
    </row>
    <row r="114" spans="2:13" hidden="1" x14ac:dyDescent="0.25">
      <c r="B114" s="27" t="s">
        <v>345</v>
      </c>
      <c r="C114" s="98"/>
      <c r="D114" s="98"/>
      <c r="F114" s="159"/>
      <c r="G114" s="98"/>
      <c r="H114" s="98"/>
      <c r="I114" s="98"/>
      <c r="J114" s="98"/>
      <c r="K114" s="113"/>
    </row>
    <row r="115" spans="2:13" hidden="1" x14ac:dyDescent="0.25">
      <c r="B115" s="98"/>
      <c r="C115" s="98"/>
      <c r="D115" s="98"/>
      <c r="F115" s="159"/>
      <c r="G115" s="98"/>
      <c r="H115" s="98"/>
      <c r="I115" s="98"/>
      <c r="J115" s="98"/>
      <c r="K115" s="113"/>
    </row>
    <row r="116" spans="2:13" hidden="1" x14ac:dyDescent="0.25">
      <c r="B116" s="312" t="s">
        <v>350</v>
      </c>
      <c r="C116" s="312"/>
      <c r="D116" s="312"/>
      <c r="E116" s="312"/>
      <c r="F116" s="312"/>
      <c r="G116" s="98"/>
      <c r="H116" s="98"/>
      <c r="I116" s="98"/>
      <c r="J116" s="98"/>
      <c r="K116" s="113"/>
    </row>
    <row r="117" spans="2:13" hidden="1" x14ac:dyDescent="0.25">
      <c r="B117" s="98"/>
      <c r="C117" s="98"/>
      <c r="D117" s="98"/>
      <c r="F117" s="159"/>
      <c r="G117" s="98"/>
      <c r="H117" s="98"/>
      <c r="I117" s="98"/>
      <c r="J117" s="98"/>
      <c r="K117" s="113"/>
    </row>
    <row r="118" spans="2:13" hidden="1" x14ac:dyDescent="0.25">
      <c r="B118" s="98"/>
      <c r="C118" s="98"/>
      <c r="D118" s="98"/>
      <c r="F118" s="159"/>
      <c r="G118" s="98"/>
      <c r="H118" s="98"/>
      <c r="I118" s="98"/>
      <c r="J118" s="98"/>
      <c r="K118" s="113"/>
    </row>
    <row r="119" spans="2:13" hidden="1" x14ac:dyDescent="0.25">
      <c r="B119" s="160" t="s">
        <v>143</v>
      </c>
      <c r="C119" s="161"/>
      <c r="D119" s="161"/>
      <c r="E119" s="162"/>
      <c r="F119" s="163">
        <v>2021</v>
      </c>
      <c r="G119" s="164"/>
      <c r="H119" s="163">
        <v>2020</v>
      </c>
      <c r="I119" s="98"/>
      <c r="J119" s="98"/>
      <c r="K119" s="113"/>
    </row>
    <row r="120" spans="2:13" hidden="1" x14ac:dyDescent="0.25">
      <c r="B120" s="161" t="s">
        <v>346</v>
      </c>
      <c r="C120" s="161"/>
      <c r="D120" s="161"/>
      <c r="E120" s="162"/>
      <c r="F120" s="165"/>
      <c r="G120" s="136"/>
      <c r="H120" s="129">
        <v>0</v>
      </c>
      <c r="I120" s="98"/>
      <c r="J120" s="98"/>
      <c r="K120" s="113"/>
    </row>
    <row r="121" spans="2:13" hidden="1" x14ac:dyDescent="0.25">
      <c r="B121" s="160" t="s">
        <v>364</v>
      </c>
      <c r="C121" s="161"/>
      <c r="D121" s="161"/>
      <c r="E121" s="162"/>
      <c r="F121" s="166">
        <f>+F120</f>
        <v>0</v>
      </c>
      <c r="G121" s="167"/>
      <c r="H121" s="168">
        <f>SUM(H120)</f>
        <v>0</v>
      </c>
      <c r="I121" s="98"/>
      <c r="J121" s="98"/>
      <c r="K121" s="113"/>
    </row>
    <row r="122" spans="2:13" hidden="1" x14ac:dyDescent="0.25">
      <c r="B122" s="98"/>
      <c r="C122" s="98"/>
      <c r="D122" s="98"/>
      <c r="F122" s="159"/>
      <c r="G122" s="98"/>
      <c r="H122" s="98"/>
      <c r="I122" s="98"/>
      <c r="J122" s="98"/>
      <c r="K122" s="113"/>
    </row>
    <row r="123" spans="2:13" ht="17.25" hidden="1" customHeight="1" x14ac:dyDescent="0.25">
      <c r="B123" s="98"/>
      <c r="C123" s="98"/>
      <c r="D123" s="98"/>
      <c r="F123" s="159"/>
      <c r="G123" s="98"/>
      <c r="H123" s="98"/>
      <c r="I123" s="98"/>
      <c r="J123" s="98"/>
      <c r="K123" s="113"/>
    </row>
    <row r="124" spans="2:13" ht="17.25" customHeight="1" x14ac:dyDescent="0.25">
      <c r="B124" s="98"/>
      <c r="C124" s="98"/>
      <c r="D124" s="98"/>
      <c r="F124" s="159"/>
      <c r="G124" s="98"/>
      <c r="H124" s="98"/>
      <c r="I124" s="98"/>
      <c r="J124" s="98"/>
      <c r="K124" s="113"/>
    </row>
    <row r="125" spans="2:13" ht="22.5" customHeight="1" x14ac:dyDescent="0.25">
      <c r="B125" s="27" t="s">
        <v>388</v>
      </c>
      <c r="F125" s="113"/>
      <c r="G125" s="113"/>
      <c r="J125" s="113"/>
      <c r="L125" s="113"/>
      <c r="M125" s="113"/>
    </row>
    <row r="126" spans="2:13" x14ac:dyDescent="0.25">
      <c r="B126" s="27"/>
      <c r="J126" s="114"/>
      <c r="K126" s="169"/>
    </row>
    <row r="127" spans="2:13" x14ac:dyDescent="0.25">
      <c r="B127" s="170" t="s">
        <v>351</v>
      </c>
      <c r="C127" s="170"/>
      <c r="D127" s="170"/>
      <c r="E127" s="171"/>
      <c r="F127" s="170"/>
      <c r="G127" s="170"/>
      <c r="J127" s="113"/>
      <c r="K127" s="114"/>
    </row>
    <row r="128" spans="2:13" x14ac:dyDescent="0.25">
      <c r="B128" s="161"/>
      <c r="C128" s="161"/>
      <c r="D128" s="161"/>
      <c r="E128" s="162"/>
      <c r="F128" s="161"/>
      <c r="G128" s="161"/>
      <c r="H128" s="161"/>
    </row>
    <row r="129" spans="2:12" x14ac:dyDescent="0.25">
      <c r="B129" s="160" t="s">
        <v>143</v>
      </c>
      <c r="C129" s="161"/>
      <c r="D129" s="161"/>
      <c r="E129" s="162"/>
      <c r="F129" s="164">
        <v>2021</v>
      </c>
      <c r="G129" s="172"/>
      <c r="H129" s="163">
        <v>2020</v>
      </c>
      <c r="J129" s="114"/>
      <c r="L129" s="113"/>
    </row>
    <row r="130" spans="2:12" x14ac:dyDescent="0.25">
      <c r="B130" s="161" t="s">
        <v>290</v>
      </c>
      <c r="C130" s="161"/>
      <c r="D130" s="161"/>
      <c r="E130" s="162"/>
      <c r="F130" s="173">
        <v>0</v>
      </c>
      <c r="G130" s="136"/>
      <c r="H130" s="173">
        <v>4844835</v>
      </c>
      <c r="J130" s="169"/>
    </row>
    <row r="131" spans="2:12" x14ac:dyDescent="0.25">
      <c r="B131" s="161" t="s">
        <v>289</v>
      </c>
      <c r="C131" s="161"/>
      <c r="D131" s="161"/>
      <c r="E131" s="162"/>
      <c r="F131" s="129">
        <f>+'[1]DICIEMBRE 2021'!$F$72</f>
        <v>15619226.560000001</v>
      </c>
      <c r="G131" s="136"/>
      <c r="H131" s="129">
        <v>10916612.92</v>
      </c>
      <c r="I131" s="100"/>
      <c r="J131" s="169"/>
    </row>
    <row r="132" spans="2:12" x14ac:dyDescent="0.25">
      <c r="B132" s="161" t="s">
        <v>119</v>
      </c>
      <c r="C132" s="161"/>
      <c r="D132" s="161"/>
      <c r="E132" s="162"/>
      <c r="F132" s="174">
        <f>SUM(F130:F131)</f>
        <v>15619226.560000001</v>
      </c>
      <c r="G132" s="174"/>
      <c r="H132" s="175">
        <f>SUM(H130:H131)</f>
        <v>15761447.92</v>
      </c>
      <c r="J132" s="169"/>
      <c r="K132" s="113"/>
    </row>
    <row r="133" spans="2:12" x14ac:dyDescent="0.25">
      <c r="B133" s="161"/>
      <c r="C133" s="161"/>
      <c r="D133" s="161"/>
      <c r="E133" s="162"/>
      <c r="F133" s="176"/>
      <c r="G133" s="176"/>
      <c r="H133" s="177"/>
    </row>
    <row r="134" spans="2:12" x14ac:dyDescent="0.25">
      <c r="B134" s="160" t="s">
        <v>389</v>
      </c>
      <c r="C134" s="161"/>
      <c r="D134" s="161"/>
      <c r="E134" s="162"/>
      <c r="F134" s="161"/>
      <c r="G134" s="161"/>
      <c r="H134" s="178"/>
      <c r="I134" s="161"/>
      <c r="J134" s="179"/>
    </row>
    <row r="135" spans="2:12" x14ac:dyDescent="0.25">
      <c r="B135" s="161" t="s">
        <v>337</v>
      </c>
      <c r="C135" s="161"/>
      <c r="D135" s="161"/>
      <c r="E135" s="162"/>
      <c r="F135" s="161"/>
      <c r="G135" s="161"/>
      <c r="H135" s="180"/>
      <c r="I135" s="161"/>
      <c r="J135" s="161"/>
    </row>
    <row r="136" spans="2:12" x14ac:dyDescent="0.25">
      <c r="B136" s="161"/>
      <c r="C136" s="161"/>
      <c r="D136" s="161"/>
      <c r="E136" s="162"/>
      <c r="F136" s="161"/>
      <c r="G136" s="161"/>
      <c r="H136" s="180"/>
      <c r="I136" s="161"/>
      <c r="J136" s="161"/>
    </row>
    <row r="137" spans="2:12" x14ac:dyDescent="0.25">
      <c r="B137" s="160" t="s">
        <v>143</v>
      </c>
      <c r="C137" s="161"/>
      <c r="D137" s="161"/>
      <c r="E137" s="162"/>
      <c r="F137" s="163">
        <v>2021</v>
      </c>
      <c r="G137" s="164"/>
      <c r="H137" s="163">
        <v>2020</v>
      </c>
      <c r="I137" s="161"/>
      <c r="J137" s="179"/>
    </row>
    <row r="138" spans="2:12" x14ac:dyDescent="0.25">
      <c r="B138" s="161" t="s">
        <v>286</v>
      </c>
      <c r="C138" s="161"/>
      <c r="D138" s="161"/>
      <c r="E138" s="162"/>
      <c r="F138" s="129">
        <f>+'[1]DICIEMBRE 2021'!$F$36</f>
        <v>8999.2800000000007</v>
      </c>
      <c r="G138" s="136"/>
      <c r="H138" s="129">
        <v>190692.96</v>
      </c>
      <c r="I138" s="161"/>
      <c r="J138" s="161"/>
      <c r="K138" s="176"/>
    </row>
    <row r="139" spans="2:12" x14ac:dyDescent="0.25">
      <c r="B139" s="160" t="s">
        <v>273</v>
      </c>
      <c r="C139" s="161"/>
      <c r="D139" s="161"/>
      <c r="E139" s="162"/>
      <c r="F139" s="181">
        <f>SUM(F138)</f>
        <v>8999.2800000000007</v>
      </c>
      <c r="G139" s="167"/>
      <c r="H139" s="168">
        <f>SUM(H138)</f>
        <v>190692.96</v>
      </c>
      <c r="I139" s="161"/>
      <c r="J139" s="176"/>
      <c r="K139" s="179"/>
    </row>
    <row r="140" spans="2:12" x14ac:dyDescent="0.25">
      <c r="B140" s="161" t="s">
        <v>147</v>
      </c>
      <c r="C140" s="161"/>
      <c r="D140" s="161"/>
      <c r="E140" s="162"/>
      <c r="F140" s="182"/>
      <c r="G140" s="182"/>
      <c r="H140" s="183"/>
      <c r="I140" s="179"/>
      <c r="J140" s="179"/>
    </row>
    <row r="141" spans="2:12" x14ac:dyDescent="0.25">
      <c r="B141" s="160" t="s">
        <v>390</v>
      </c>
      <c r="C141" s="161"/>
      <c r="D141" s="161"/>
      <c r="E141" s="162"/>
      <c r="F141" s="162"/>
      <c r="G141" s="162"/>
      <c r="H141" s="162"/>
      <c r="I141" s="161"/>
      <c r="J141" s="161"/>
    </row>
    <row r="142" spans="2:12" x14ac:dyDescent="0.25">
      <c r="B142" s="161" t="s">
        <v>352</v>
      </c>
      <c r="C142" s="161"/>
      <c r="D142" s="161"/>
      <c r="E142" s="162"/>
      <c r="F142" s="161"/>
      <c r="G142" s="161"/>
      <c r="H142" s="161"/>
      <c r="I142" s="161"/>
      <c r="J142" s="161"/>
    </row>
    <row r="143" spans="2:12" x14ac:dyDescent="0.25">
      <c r="B143" s="161" t="s">
        <v>272</v>
      </c>
      <c r="C143" s="161"/>
      <c r="D143" s="161"/>
      <c r="E143" s="162"/>
      <c r="F143" s="161"/>
      <c r="G143" s="161"/>
      <c r="H143" s="161"/>
      <c r="I143" s="161"/>
      <c r="J143" s="161"/>
    </row>
    <row r="144" spans="2:12" x14ac:dyDescent="0.25">
      <c r="B144" s="161"/>
      <c r="C144" s="161"/>
      <c r="D144" s="161"/>
      <c r="E144" s="162"/>
      <c r="F144" s="161"/>
      <c r="G144" s="161"/>
      <c r="H144" s="161"/>
      <c r="I144" s="161"/>
      <c r="J144" s="161"/>
    </row>
    <row r="145" spans="2:11" x14ac:dyDescent="0.25">
      <c r="B145" s="160" t="s">
        <v>143</v>
      </c>
      <c r="C145" s="161"/>
      <c r="D145" s="161"/>
      <c r="E145" s="162"/>
      <c r="F145" s="164">
        <v>2021</v>
      </c>
      <c r="G145" s="184"/>
      <c r="H145" s="164">
        <v>2020</v>
      </c>
      <c r="I145" s="161"/>
      <c r="J145" s="161"/>
    </row>
    <row r="146" spans="2:11" x14ac:dyDescent="0.25">
      <c r="B146" s="161" t="s">
        <v>288</v>
      </c>
      <c r="C146" s="161"/>
      <c r="D146" s="161"/>
      <c r="E146" s="162"/>
      <c r="F146" s="136"/>
      <c r="G146" s="136"/>
      <c r="H146" s="136">
        <v>278575.15000000002</v>
      </c>
      <c r="I146" s="136">
        <v>278575.15000000002</v>
      </c>
      <c r="J146" s="161"/>
      <c r="K146" s="176"/>
    </row>
    <row r="147" spans="2:11" x14ac:dyDescent="0.25">
      <c r="B147" s="161" t="s">
        <v>291</v>
      </c>
      <c r="C147" s="161"/>
      <c r="D147" s="161"/>
      <c r="E147" s="162"/>
      <c r="F147" s="136">
        <v>0</v>
      </c>
      <c r="G147" s="136"/>
      <c r="H147" s="136">
        <v>49880.919999999984</v>
      </c>
      <c r="I147" s="136">
        <v>49880.919999999984</v>
      </c>
      <c r="J147" s="161"/>
      <c r="K147" s="176"/>
    </row>
    <row r="148" spans="2:11" x14ac:dyDescent="0.25">
      <c r="B148" s="161" t="s">
        <v>294</v>
      </c>
      <c r="C148" s="161"/>
      <c r="D148" s="161"/>
      <c r="E148" s="162"/>
      <c r="F148" s="129">
        <v>0</v>
      </c>
      <c r="G148" s="136"/>
      <c r="H148" s="129">
        <v>7740117.9000000004</v>
      </c>
      <c r="I148" s="129">
        <v>7740117.9000000004</v>
      </c>
      <c r="J148" s="161"/>
      <c r="K148" s="161"/>
    </row>
    <row r="149" spans="2:11" x14ac:dyDescent="0.25">
      <c r="B149" s="160" t="s">
        <v>295</v>
      </c>
      <c r="C149" s="161"/>
      <c r="D149" s="161"/>
      <c r="E149" s="162"/>
      <c r="F149" s="181">
        <f>SUM(F146:F148)</f>
        <v>0</v>
      </c>
      <c r="G149" s="181"/>
      <c r="H149" s="181">
        <f>SUM(H146:H148)</f>
        <v>8068573.9700000007</v>
      </c>
      <c r="I149" s="161"/>
      <c r="J149" s="176"/>
      <c r="K149" s="161"/>
    </row>
    <row r="150" spans="2:11" x14ac:dyDescent="0.25">
      <c r="J150" s="161"/>
      <c r="K150" s="161"/>
    </row>
    <row r="151" spans="2:11" x14ac:dyDescent="0.25">
      <c r="B151" s="27" t="s">
        <v>391</v>
      </c>
      <c r="J151" s="179"/>
      <c r="K151" s="176"/>
    </row>
    <row r="152" spans="2:11" ht="7.5" customHeight="1" x14ac:dyDescent="0.25">
      <c r="B152" s="27"/>
      <c r="J152" s="179"/>
      <c r="K152" s="161"/>
    </row>
    <row r="153" spans="2:11" x14ac:dyDescent="0.25">
      <c r="B153" s="160" t="s">
        <v>14</v>
      </c>
      <c r="C153" s="161"/>
      <c r="D153" s="161"/>
      <c r="E153" s="162"/>
      <c r="F153" s="161"/>
      <c r="G153" s="161"/>
      <c r="H153" s="161"/>
      <c r="J153" s="179"/>
      <c r="K153" s="161"/>
    </row>
    <row r="154" spans="2:11" x14ac:dyDescent="0.25">
      <c r="B154" s="161" t="s">
        <v>404</v>
      </c>
      <c r="C154" s="161"/>
      <c r="D154" s="161"/>
      <c r="E154" s="162"/>
      <c r="F154" s="161"/>
      <c r="G154" s="161"/>
      <c r="H154" s="161"/>
      <c r="J154" s="114"/>
    </row>
    <row r="155" spans="2:11" x14ac:dyDescent="0.25">
      <c r="B155" s="161" t="s">
        <v>292</v>
      </c>
      <c r="C155" s="161"/>
      <c r="D155" s="161"/>
      <c r="E155" s="162"/>
      <c r="F155" s="161"/>
      <c r="G155" s="161"/>
      <c r="H155" s="161"/>
    </row>
    <row r="156" spans="2:11" x14ac:dyDescent="0.25">
      <c r="B156" s="161" t="s">
        <v>293</v>
      </c>
      <c r="C156" s="161"/>
      <c r="D156" s="161"/>
      <c r="E156" s="162"/>
      <c r="F156" s="161"/>
      <c r="G156" s="161"/>
      <c r="H156" s="161"/>
    </row>
    <row r="157" spans="2:11" x14ac:dyDescent="0.25">
      <c r="B157" s="161" t="s">
        <v>284</v>
      </c>
      <c r="C157" s="161"/>
      <c r="D157" s="161"/>
      <c r="E157" s="162"/>
      <c r="F157" s="161"/>
      <c r="G157" s="161"/>
      <c r="H157" s="161"/>
    </row>
    <row r="158" spans="2:11" ht="12" customHeight="1" x14ac:dyDescent="0.25">
      <c r="B158" s="161"/>
      <c r="C158" s="161"/>
      <c r="D158" s="161"/>
      <c r="E158" s="162"/>
      <c r="F158" s="161"/>
      <c r="G158" s="161"/>
      <c r="H158" s="161"/>
    </row>
    <row r="159" spans="2:11" x14ac:dyDescent="0.25">
      <c r="B159" s="160" t="s">
        <v>148</v>
      </c>
      <c r="C159" s="161"/>
      <c r="D159" s="161"/>
      <c r="E159" s="162"/>
      <c r="F159" s="164">
        <v>2021</v>
      </c>
      <c r="G159" s="164"/>
      <c r="H159" s="164">
        <v>2020</v>
      </c>
    </row>
    <row r="160" spans="2:11" x14ac:dyDescent="0.25">
      <c r="B160" s="161" t="s">
        <v>279</v>
      </c>
      <c r="C160" s="161"/>
      <c r="D160" s="161"/>
      <c r="E160" s="162"/>
      <c r="F160" s="173">
        <v>51695326</v>
      </c>
      <c r="G160" s="136"/>
      <c r="H160" s="173">
        <v>51695326</v>
      </c>
      <c r="I160" s="161"/>
      <c r="J160" s="161"/>
    </row>
    <row r="161" spans="2:11" ht="20.25" customHeight="1" x14ac:dyDescent="0.25">
      <c r="B161" s="161" t="s">
        <v>98</v>
      </c>
      <c r="C161" s="161"/>
      <c r="D161" s="161"/>
      <c r="E161" s="162"/>
      <c r="F161" s="173">
        <f>+'Est. de Rendimiento Fin'!B22</f>
        <v>-8419224.588694185</v>
      </c>
      <c r="G161" s="136"/>
      <c r="H161" s="173">
        <v>-10702547.880000001</v>
      </c>
      <c r="I161" s="161"/>
      <c r="J161" s="161"/>
    </row>
    <row r="162" spans="2:11" x14ac:dyDescent="0.25">
      <c r="B162" s="161" t="s">
        <v>299</v>
      </c>
      <c r="C162" s="161"/>
      <c r="D162" s="161"/>
      <c r="E162" s="162"/>
      <c r="F162" s="136">
        <f>+H162+H161+H163</f>
        <v>26974241.189999998</v>
      </c>
      <c r="G162" s="136"/>
      <c r="H162" s="136">
        <v>37695935</v>
      </c>
      <c r="J162" s="113"/>
    </row>
    <row r="163" spans="2:11" x14ac:dyDescent="0.25">
      <c r="B163" s="161" t="s">
        <v>283</v>
      </c>
      <c r="C163" s="161"/>
      <c r="D163" s="161"/>
      <c r="E163" s="162"/>
      <c r="F163" s="129"/>
      <c r="G163" s="136"/>
      <c r="H163" s="129">
        <v>-19145.93</v>
      </c>
      <c r="J163" s="113"/>
    </row>
    <row r="164" spans="2:11" x14ac:dyDescent="0.25">
      <c r="B164" s="160" t="s">
        <v>99</v>
      </c>
      <c r="C164" s="161"/>
      <c r="D164" s="161"/>
      <c r="E164" s="162"/>
      <c r="F164" s="185">
        <f>SUM(F160:F163)</f>
        <v>70250342.601305813</v>
      </c>
      <c r="G164" s="186"/>
      <c r="H164" s="185">
        <f>+H160+H161+H162+H163</f>
        <v>78669567.189999998</v>
      </c>
    </row>
    <row r="165" spans="2:11" x14ac:dyDescent="0.25">
      <c r="B165" s="160"/>
      <c r="C165" s="161"/>
      <c r="D165" s="161"/>
      <c r="E165" s="162"/>
      <c r="F165" s="187"/>
      <c r="G165" s="188"/>
      <c r="H165" s="187"/>
    </row>
    <row r="166" spans="2:11" x14ac:dyDescent="0.25">
      <c r="B166" s="27" t="s">
        <v>26</v>
      </c>
      <c r="G166" s="98"/>
      <c r="J166" s="161"/>
    </row>
    <row r="167" spans="2:11" x14ac:dyDescent="0.25">
      <c r="J167" s="161"/>
    </row>
    <row r="168" spans="2:11" x14ac:dyDescent="0.25">
      <c r="B168" s="160" t="s">
        <v>392</v>
      </c>
      <c r="C168" s="161"/>
      <c r="D168" s="161"/>
      <c r="E168" s="162"/>
      <c r="F168" s="161"/>
      <c r="G168" s="161"/>
      <c r="H168" s="161"/>
      <c r="I168" s="189"/>
      <c r="J168" s="161"/>
    </row>
    <row r="169" spans="2:11" x14ac:dyDescent="0.25">
      <c r="B169" s="161" t="s">
        <v>319</v>
      </c>
      <c r="C169" s="161"/>
      <c r="D169" s="161"/>
      <c r="E169" s="162"/>
      <c r="F169" s="161"/>
      <c r="G169" s="161"/>
      <c r="H169" s="161"/>
      <c r="I169" s="189"/>
      <c r="J169" s="161"/>
    </row>
    <row r="170" spans="2:11" x14ac:dyDescent="0.25">
      <c r="B170" s="161" t="s">
        <v>353</v>
      </c>
      <c r="C170" s="161"/>
      <c r="D170" s="161"/>
      <c r="E170" s="162"/>
      <c r="F170" s="161"/>
      <c r="G170" s="161"/>
      <c r="H170" s="161"/>
      <c r="I170" s="189"/>
      <c r="J170" s="161"/>
    </row>
    <row r="171" spans="2:11" x14ac:dyDescent="0.25">
      <c r="B171" s="161"/>
      <c r="C171" s="161"/>
      <c r="D171" s="161"/>
      <c r="E171" s="162"/>
      <c r="F171" s="161"/>
      <c r="G171" s="161"/>
      <c r="H171" s="161"/>
      <c r="I171" s="189"/>
      <c r="J171" s="161"/>
    </row>
    <row r="172" spans="2:11" x14ac:dyDescent="0.25">
      <c r="B172" s="160" t="s">
        <v>143</v>
      </c>
      <c r="C172" s="161"/>
      <c r="D172" s="161"/>
      <c r="E172" s="162"/>
      <c r="F172" s="164">
        <v>2021</v>
      </c>
      <c r="G172" s="172"/>
      <c r="H172" s="164">
        <v>2020</v>
      </c>
      <c r="I172" s="189"/>
      <c r="J172" s="161"/>
      <c r="K172" s="114"/>
    </row>
    <row r="173" spans="2:11" x14ac:dyDescent="0.25">
      <c r="B173" s="161" t="s">
        <v>301</v>
      </c>
      <c r="C173" s="161"/>
      <c r="D173" s="161"/>
      <c r="E173" s="162"/>
      <c r="F173" s="190">
        <v>20350000</v>
      </c>
      <c r="G173" s="191"/>
      <c r="H173" s="190">
        <v>10175000</v>
      </c>
      <c r="I173" s="189"/>
      <c r="J173" s="161"/>
      <c r="K173" s="114"/>
    </row>
    <row r="174" spans="2:11" x14ac:dyDescent="0.25">
      <c r="B174" s="160" t="s">
        <v>261</v>
      </c>
      <c r="C174" s="161"/>
      <c r="D174" s="161"/>
      <c r="E174" s="162"/>
      <c r="F174" s="192">
        <f>+F173</f>
        <v>20350000</v>
      </c>
      <c r="G174" s="193"/>
      <c r="H174" s="192">
        <f>SUM(H173)</f>
        <v>10175000</v>
      </c>
      <c r="I174" s="189"/>
      <c r="J174" s="261"/>
      <c r="K174" s="114"/>
    </row>
    <row r="175" spans="2:11" x14ac:dyDescent="0.25">
      <c r="B175" s="161"/>
      <c r="C175" s="161"/>
      <c r="D175" s="161"/>
      <c r="E175" s="162"/>
      <c r="F175" s="192"/>
      <c r="G175" s="192"/>
      <c r="H175" s="192"/>
      <c r="I175" s="189"/>
      <c r="J175" s="161"/>
    </row>
    <row r="176" spans="2:11" x14ac:dyDescent="0.25">
      <c r="B176" s="160" t="s">
        <v>393</v>
      </c>
      <c r="C176" s="161"/>
      <c r="D176" s="161"/>
      <c r="E176" s="162"/>
      <c r="F176" s="161"/>
      <c r="G176" s="161"/>
      <c r="H176" s="161"/>
      <c r="I176" s="189"/>
      <c r="J176" s="161"/>
    </row>
    <row r="177" spans="2:12" x14ac:dyDescent="0.25">
      <c r="B177" s="161" t="s">
        <v>336</v>
      </c>
      <c r="C177" s="161"/>
      <c r="D177" s="161"/>
      <c r="E177" s="162"/>
      <c r="F177" s="161"/>
      <c r="G177" s="161"/>
      <c r="H177" s="161"/>
      <c r="J177" s="161"/>
    </row>
    <row r="178" spans="2:12" x14ac:dyDescent="0.25">
      <c r="B178" s="161" t="s">
        <v>354</v>
      </c>
      <c r="C178" s="161"/>
      <c r="D178" s="161"/>
      <c r="E178" s="162"/>
      <c r="F178" s="164"/>
      <c r="G178" s="164"/>
      <c r="H178" s="164"/>
      <c r="I178" s="113"/>
      <c r="J178" s="161"/>
    </row>
    <row r="179" spans="2:12" x14ac:dyDescent="0.25">
      <c r="B179" s="161"/>
      <c r="C179" s="161"/>
      <c r="D179" s="161"/>
      <c r="E179" s="162"/>
      <c r="F179" s="164"/>
      <c r="G179" s="164"/>
      <c r="H179" s="164"/>
      <c r="I179" s="113"/>
      <c r="J179" s="161"/>
    </row>
    <row r="180" spans="2:12" x14ac:dyDescent="0.25">
      <c r="B180" s="161"/>
      <c r="C180" s="161"/>
      <c r="D180" s="161"/>
      <c r="E180" s="162"/>
      <c r="F180" s="164"/>
      <c r="G180" s="164"/>
      <c r="H180" s="164"/>
      <c r="I180" s="113"/>
      <c r="J180" s="161"/>
    </row>
    <row r="181" spans="2:12" x14ac:dyDescent="0.25">
      <c r="B181" s="160" t="s">
        <v>143</v>
      </c>
      <c r="C181" s="160"/>
      <c r="D181" s="160"/>
      <c r="E181" s="194"/>
      <c r="F181" s="164">
        <v>2021</v>
      </c>
      <c r="G181" s="164"/>
      <c r="H181" s="164">
        <v>2020</v>
      </c>
      <c r="I181" s="112"/>
      <c r="J181" s="161"/>
    </row>
    <row r="182" spans="2:12" x14ac:dyDescent="0.25">
      <c r="B182" s="161" t="s">
        <v>296</v>
      </c>
      <c r="C182" s="161"/>
      <c r="D182" s="161"/>
      <c r="E182" s="162"/>
      <c r="F182" s="136">
        <v>179615540</v>
      </c>
      <c r="G182" s="136"/>
      <c r="H182" s="136">
        <v>179601539.44999999</v>
      </c>
      <c r="I182" s="112"/>
      <c r="J182" s="176"/>
    </row>
    <row r="183" spans="2:12" x14ac:dyDescent="0.25">
      <c r="B183" s="161" t="s">
        <v>297</v>
      </c>
      <c r="C183" s="161"/>
      <c r="D183" s="161"/>
      <c r="E183" s="162"/>
      <c r="F183" s="136">
        <v>5515705</v>
      </c>
      <c r="G183" s="136"/>
      <c r="H183" s="136">
        <v>20770000</v>
      </c>
      <c r="J183" s="114"/>
    </row>
    <row r="184" spans="2:12" x14ac:dyDescent="0.25">
      <c r="B184" s="161" t="s">
        <v>298</v>
      </c>
      <c r="C184" s="161"/>
      <c r="D184" s="161"/>
      <c r="E184" s="162"/>
      <c r="F184" s="136">
        <v>0</v>
      </c>
      <c r="G184" s="136"/>
      <c r="H184" s="136">
        <v>0</v>
      </c>
      <c r="I184" s="113"/>
      <c r="K184" s="169"/>
      <c r="L184" s="114"/>
    </row>
    <row r="185" spans="2:12" x14ac:dyDescent="0.25">
      <c r="B185" s="161" t="s">
        <v>300</v>
      </c>
      <c r="C185" s="161"/>
      <c r="D185" s="161"/>
      <c r="E185" s="162"/>
      <c r="F185" s="136">
        <v>11402829.699999999</v>
      </c>
      <c r="G185" s="136"/>
      <c r="H185" s="136">
        <v>14903083</v>
      </c>
      <c r="J185" s="114"/>
      <c r="K185" s="169"/>
    </row>
    <row r="186" spans="2:12" x14ac:dyDescent="0.25">
      <c r="B186" s="161" t="s">
        <v>305</v>
      </c>
      <c r="C186" s="161"/>
      <c r="D186" s="161"/>
      <c r="E186" s="162"/>
      <c r="F186" s="129"/>
      <c r="G186" s="136"/>
      <c r="H186" s="129">
        <v>448315.54</v>
      </c>
      <c r="J186" s="114"/>
      <c r="K186" s="260"/>
    </row>
    <row r="187" spans="2:12" x14ac:dyDescent="0.25">
      <c r="B187" s="160" t="s">
        <v>285</v>
      </c>
      <c r="C187" s="161"/>
      <c r="D187" s="161"/>
      <c r="E187" s="162"/>
      <c r="F187" s="195">
        <f>F182+F183+F184+F185+F186</f>
        <v>196534074.69999999</v>
      </c>
      <c r="G187" s="195"/>
      <c r="H187" s="195">
        <f>SUM(H182:H186)</f>
        <v>215722937.98999998</v>
      </c>
      <c r="I187" s="113"/>
      <c r="J187" s="114"/>
      <c r="K187" s="169"/>
    </row>
    <row r="188" spans="2:12" x14ac:dyDescent="0.25">
      <c r="B188" s="160"/>
      <c r="C188" s="161"/>
      <c r="D188" s="161"/>
      <c r="E188" s="162"/>
      <c r="F188" s="195"/>
      <c r="G188" s="195"/>
      <c r="H188" s="195"/>
      <c r="I188" s="113"/>
      <c r="K188" s="169"/>
    </row>
    <row r="189" spans="2:12" x14ac:dyDescent="0.25">
      <c r="B189" s="160" t="s">
        <v>394</v>
      </c>
      <c r="C189" s="161"/>
      <c r="D189" s="161"/>
      <c r="E189" s="162"/>
      <c r="F189" s="176"/>
      <c r="G189" s="161"/>
      <c r="H189" s="176"/>
      <c r="I189" s="113"/>
      <c r="J189" s="114"/>
      <c r="K189" s="169"/>
    </row>
    <row r="190" spans="2:12" x14ac:dyDescent="0.25">
      <c r="B190" s="161" t="s">
        <v>302</v>
      </c>
      <c r="C190" s="161"/>
      <c r="D190" s="161"/>
      <c r="E190" s="162"/>
      <c r="F190" s="161"/>
      <c r="G190" s="161"/>
      <c r="H190" s="161"/>
      <c r="K190" s="114"/>
    </row>
    <row r="191" spans="2:12" x14ac:dyDescent="0.25">
      <c r="B191" s="161" t="s">
        <v>355</v>
      </c>
      <c r="C191" s="161"/>
      <c r="D191" s="161"/>
      <c r="E191" s="162"/>
      <c r="F191" s="161"/>
      <c r="G191" s="161"/>
      <c r="H191" s="161"/>
      <c r="J191" s="114"/>
    </row>
    <row r="192" spans="2:12" x14ac:dyDescent="0.25">
      <c r="B192" s="161" t="s">
        <v>356</v>
      </c>
      <c r="C192" s="161"/>
      <c r="D192" s="161"/>
      <c r="E192" s="162"/>
      <c r="F192" s="161"/>
      <c r="G192" s="161"/>
      <c r="H192" s="161"/>
    </row>
    <row r="193" spans="2:10" x14ac:dyDescent="0.25">
      <c r="B193" s="161"/>
      <c r="C193" s="161"/>
      <c r="D193" s="161"/>
      <c r="E193" s="162"/>
      <c r="F193" s="161"/>
      <c r="G193" s="161"/>
      <c r="H193" s="161"/>
      <c r="I193" s="113"/>
      <c r="J193" s="196"/>
    </row>
    <row r="194" spans="2:10" x14ac:dyDescent="0.25">
      <c r="B194" s="160" t="s">
        <v>148</v>
      </c>
      <c r="C194" s="161"/>
      <c r="D194" s="161"/>
      <c r="E194" s="162"/>
      <c r="F194" s="164">
        <v>2021</v>
      </c>
      <c r="G194" s="164"/>
      <c r="H194" s="164">
        <v>2020</v>
      </c>
      <c r="J194" s="114"/>
    </row>
    <row r="195" spans="2:10" x14ac:dyDescent="0.25">
      <c r="B195" s="161" t="s">
        <v>306</v>
      </c>
      <c r="C195" s="161"/>
      <c r="D195" s="161"/>
      <c r="E195" s="162"/>
      <c r="F195" s="197">
        <v>286453.62</v>
      </c>
      <c r="G195" s="197"/>
      <c r="H195" s="197"/>
    </row>
    <row r="196" spans="2:10" x14ac:dyDescent="0.25">
      <c r="B196" s="161" t="s">
        <v>303</v>
      </c>
      <c r="C196" s="161"/>
      <c r="D196" s="161"/>
      <c r="E196" s="162"/>
      <c r="F196" s="197"/>
      <c r="G196" s="197"/>
      <c r="H196" s="197">
        <v>1000000</v>
      </c>
    </row>
    <row r="197" spans="2:10" x14ac:dyDescent="0.25">
      <c r="B197" s="161" t="s">
        <v>265</v>
      </c>
      <c r="C197" s="161"/>
      <c r="D197" s="161"/>
      <c r="E197" s="162"/>
      <c r="F197" s="198">
        <f>312000+122971.73</f>
        <v>434971.73</v>
      </c>
      <c r="G197" s="197"/>
      <c r="H197" s="198">
        <v>41000</v>
      </c>
      <c r="J197" s="114"/>
    </row>
    <row r="198" spans="2:10" x14ac:dyDescent="0.25">
      <c r="B198" s="160" t="s">
        <v>262</v>
      </c>
      <c r="C198" s="161"/>
      <c r="D198" s="161"/>
      <c r="E198" s="162"/>
      <c r="F198" s="199">
        <f>+F195+F196+F197</f>
        <v>721425.35</v>
      </c>
      <c r="G198" s="199"/>
      <c r="H198" s="199">
        <f>SUM(H196:H197)</f>
        <v>1041000</v>
      </c>
    </row>
    <row r="199" spans="2:10" x14ac:dyDescent="0.25">
      <c r="F199" s="107"/>
      <c r="G199" s="107"/>
      <c r="H199" s="107"/>
    </row>
    <row r="200" spans="2:10" x14ac:dyDescent="0.25">
      <c r="B200" s="27" t="s">
        <v>395</v>
      </c>
    </row>
    <row r="201" spans="2:10" x14ac:dyDescent="0.25">
      <c r="B201" s="36" t="s">
        <v>357</v>
      </c>
    </row>
    <row r="202" spans="2:10" x14ac:dyDescent="0.25">
      <c r="B202" s="36" t="s">
        <v>358</v>
      </c>
    </row>
    <row r="204" spans="2:10" x14ac:dyDescent="0.25">
      <c r="B204" s="27" t="s">
        <v>150</v>
      </c>
      <c r="C204" s="27"/>
      <c r="D204" s="27"/>
      <c r="E204" s="97"/>
      <c r="F204" s="99">
        <v>2021</v>
      </c>
      <c r="G204" s="99"/>
      <c r="H204" s="99">
        <v>2020</v>
      </c>
    </row>
    <row r="205" spans="2:10" x14ac:dyDescent="0.25">
      <c r="B205" s="36" t="s">
        <v>151</v>
      </c>
      <c r="F205" s="111">
        <f>+'[2]CONSOLIDADO 2021'!$I$13</f>
        <v>83352337.709999949</v>
      </c>
      <c r="G205" s="111"/>
      <c r="H205" s="111">
        <v>83183130.129999995</v>
      </c>
    </row>
    <row r="206" spans="2:10" x14ac:dyDescent="0.25">
      <c r="B206" s="36" t="s">
        <v>162</v>
      </c>
      <c r="F206" s="111"/>
      <c r="G206" s="112"/>
      <c r="H206" s="111">
        <v>915000</v>
      </c>
      <c r="J206" s="114"/>
    </row>
    <row r="207" spans="2:10" x14ac:dyDescent="0.25">
      <c r="B207" s="36" t="s">
        <v>163</v>
      </c>
      <c r="F207" s="111">
        <f>+'[2]CONSOLIDADO 2021'!$I$14</f>
        <v>3157333.33</v>
      </c>
      <c r="G207" s="112"/>
      <c r="H207" s="111">
        <v>5959700</v>
      </c>
    </row>
    <row r="208" spans="2:10" x14ac:dyDescent="0.25">
      <c r="B208" s="36" t="s">
        <v>164</v>
      </c>
      <c r="F208" s="111">
        <f>+'[2]CONSOLIDADO 2021'!$I$15</f>
        <v>150000</v>
      </c>
      <c r="G208" s="112"/>
      <c r="H208" s="111">
        <v>75000</v>
      </c>
    </row>
    <row r="209" spans="2:10" x14ac:dyDescent="0.25">
      <c r="B209" s="36" t="s">
        <v>320</v>
      </c>
      <c r="F209" s="111">
        <f>+'[2]CONSOLIDADO 2021'!$G$16</f>
        <v>5389250</v>
      </c>
      <c r="G209" s="112"/>
      <c r="H209" s="111"/>
    </row>
    <row r="210" spans="2:10" x14ac:dyDescent="0.25">
      <c r="B210" s="36" t="s">
        <v>321</v>
      </c>
      <c r="F210" s="111">
        <f>+'[2]CONSOLIDADO 2021'!$G$17</f>
        <v>187500</v>
      </c>
      <c r="G210" s="112"/>
      <c r="H210" s="111"/>
    </row>
    <row r="211" spans="2:10" x14ac:dyDescent="0.25">
      <c r="B211" s="36" t="s">
        <v>307</v>
      </c>
      <c r="F211" s="111">
        <f>+'[2]CONSOLIDADO 2021'!$I$19</f>
        <v>1822826.26</v>
      </c>
      <c r="G211" s="112"/>
      <c r="H211" s="111"/>
    </row>
    <row r="212" spans="2:10" x14ac:dyDescent="0.25">
      <c r="B212" s="36" t="s">
        <v>308</v>
      </c>
      <c r="F212" s="111">
        <f>+'[2]CONSOLIDADO 2021'!$I$20</f>
        <v>2641200</v>
      </c>
      <c r="G212" s="112"/>
      <c r="H212" s="111"/>
    </row>
    <row r="213" spans="2:10" x14ac:dyDescent="0.25">
      <c r="B213" s="36" t="s">
        <v>165</v>
      </c>
      <c r="F213" s="111">
        <f>+'[2]CONSOLIDADO 2021'!$G$18</f>
        <v>7964507.0499999998</v>
      </c>
      <c r="G213" s="112"/>
      <c r="H213" s="111">
        <v>7405956.5499999998</v>
      </c>
    </row>
    <row r="214" spans="2:10" x14ac:dyDescent="0.25">
      <c r="B214" s="36" t="s">
        <v>166</v>
      </c>
      <c r="F214" s="111">
        <f>+'[2]CONSOLIDADO 2021'!$I$21</f>
        <v>1208566.76</v>
      </c>
      <c r="G214" s="112"/>
      <c r="H214" s="111">
        <v>699819.37000000011</v>
      </c>
    </row>
    <row r="215" spans="2:10" x14ac:dyDescent="0.25">
      <c r="B215" s="36" t="s">
        <v>167</v>
      </c>
      <c r="F215" s="111">
        <f>+'[2]CONSOLIDADO 2021'!$I$23</f>
        <v>244049.85</v>
      </c>
      <c r="G215" s="112"/>
      <c r="H215" s="111">
        <v>20949.96</v>
      </c>
      <c r="J215" s="113"/>
    </row>
    <row r="216" spans="2:10" x14ac:dyDescent="0.25">
      <c r="B216" s="36" t="s">
        <v>168</v>
      </c>
      <c r="F216" s="111">
        <f>+'[2]CONSOLIDADO 2021'!$I$24</f>
        <v>3024000</v>
      </c>
      <c r="G216" s="112"/>
      <c r="H216" s="111">
        <v>3072000</v>
      </c>
    </row>
    <row r="217" spans="2:10" x14ac:dyDescent="0.25">
      <c r="B217" s="36" t="s">
        <v>309</v>
      </c>
      <c r="F217" s="111">
        <f>+'[2]CONSOLIDADO 2021'!$I$25</f>
        <v>6656380</v>
      </c>
      <c r="G217" s="112"/>
      <c r="H217" s="111">
        <v>7178760</v>
      </c>
    </row>
    <row r="218" spans="2:10" x14ac:dyDescent="0.25">
      <c r="B218" s="36" t="s">
        <v>233</v>
      </c>
      <c r="F218" s="111">
        <f>+'[2]CONSOLIDADO 2021'!$I$28</f>
        <v>105000</v>
      </c>
      <c r="G218" s="112"/>
      <c r="H218" s="111">
        <v>0</v>
      </c>
    </row>
    <row r="219" spans="2:10" x14ac:dyDescent="0.25">
      <c r="B219" s="36" t="s">
        <v>169</v>
      </c>
      <c r="F219" s="111">
        <f>+'[2]CONSOLIDADO 2021'!$G$26</f>
        <v>617285</v>
      </c>
      <c r="G219" s="112"/>
      <c r="H219" s="111">
        <v>618785</v>
      </c>
    </row>
    <row r="220" spans="2:10" x14ac:dyDescent="0.25">
      <c r="B220" s="36" t="s">
        <v>170</v>
      </c>
      <c r="F220" s="111">
        <v>0</v>
      </c>
      <c r="G220" s="112"/>
      <c r="H220" s="111">
        <v>7740117.9000000004</v>
      </c>
    </row>
    <row r="221" spans="2:10" x14ac:dyDescent="0.25">
      <c r="B221" s="36" t="s">
        <v>171</v>
      </c>
      <c r="F221" s="111">
        <v>0</v>
      </c>
      <c r="G221" s="112"/>
      <c r="H221" s="111">
        <v>18312000</v>
      </c>
    </row>
    <row r="222" spans="2:10" s="205" customFormat="1" ht="30" customHeight="1" x14ac:dyDescent="0.25">
      <c r="B222" s="310" t="s">
        <v>152</v>
      </c>
      <c r="C222" s="310"/>
      <c r="D222" s="310"/>
      <c r="E222" s="200"/>
      <c r="F222" s="201">
        <v>14133787.99</v>
      </c>
      <c r="G222" s="202"/>
      <c r="H222" s="201">
        <v>13691373.949999999</v>
      </c>
      <c r="I222" s="203"/>
      <c r="J222" s="204"/>
    </row>
    <row r="223" spans="2:10" x14ac:dyDescent="0.25">
      <c r="B223" s="36" t="s">
        <v>153</v>
      </c>
      <c r="D223" s="169"/>
      <c r="F223" s="206">
        <f>SUM(F205:F222)</f>
        <v>130654023.94999994</v>
      </c>
      <c r="G223" s="206"/>
      <c r="H223" s="206">
        <f>SUM(H205:H222)</f>
        <v>148872592.85999998</v>
      </c>
      <c r="I223" s="169"/>
      <c r="J223" s="114"/>
    </row>
    <row r="224" spans="2:10" x14ac:dyDescent="0.25">
      <c r="D224" s="169"/>
      <c r="F224" s="206"/>
      <c r="G224" s="207"/>
      <c r="H224" s="206"/>
      <c r="I224" s="169"/>
      <c r="J224" s="114"/>
    </row>
    <row r="225" spans="2:10" x14ac:dyDescent="0.25">
      <c r="F225" s="206"/>
      <c r="G225" s="206"/>
      <c r="H225" s="206"/>
      <c r="I225" s="169"/>
      <c r="J225" s="114"/>
    </row>
    <row r="226" spans="2:10" x14ac:dyDescent="0.25">
      <c r="B226" s="27" t="s">
        <v>344</v>
      </c>
    </row>
    <row r="228" spans="2:10" x14ac:dyDescent="0.25">
      <c r="B228" s="27" t="s">
        <v>396</v>
      </c>
    </row>
    <row r="229" spans="2:10" ht="18.75" customHeight="1" x14ac:dyDescent="0.25">
      <c r="B229" s="311" t="s">
        <v>335</v>
      </c>
      <c r="C229" s="311"/>
      <c r="D229" s="311"/>
      <c r="E229" s="311"/>
      <c r="F229" s="311"/>
      <c r="G229" s="311"/>
      <c r="H229" s="311"/>
      <c r="I229" s="311"/>
      <c r="J229" s="311"/>
    </row>
    <row r="230" spans="2:10" ht="42.75" customHeight="1" x14ac:dyDescent="0.25">
      <c r="B230" s="311"/>
      <c r="C230" s="311"/>
      <c r="D230" s="311"/>
      <c r="E230" s="311"/>
      <c r="F230" s="311"/>
      <c r="G230" s="311"/>
      <c r="H230" s="311"/>
      <c r="I230" s="311"/>
      <c r="J230" s="311"/>
    </row>
    <row r="231" spans="2:10" x14ac:dyDescent="0.25">
      <c r="B231" s="161"/>
      <c r="C231" s="161"/>
      <c r="D231" s="161"/>
      <c r="E231" s="162"/>
      <c r="F231" s="161"/>
      <c r="G231" s="161"/>
      <c r="H231" s="161"/>
    </row>
    <row r="232" spans="2:10" x14ac:dyDescent="0.25">
      <c r="B232" s="160" t="s">
        <v>143</v>
      </c>
      <c r="C232" s="161"/>
      <c r="D232" s="161"/>
      <c r="E232" s="162"/>
      <c r="F232" s="164">
        <v>2021</v>
      </c>
      <c r="G232" s="172"/>
      <c r="H232" s="164">
        <v>2020</v>
      </c>
    </row>
    <row r="233" spans="2:10" x14ac:dyDescent="0.25">
      <c r="B233" s="161" t="s">
        <v>277</v>
      </c>
      <c r="C233" s="161"/>
      <c r="D233" s="161"/>
      <c r="E233" s="162"/>
      <c r="F233" s="208">
        <f>+'[2]CONSOLIDADO 2021'!$I$134</f>
        <v>671370</v>
      </c>
      <c r="G233" s="209"/>
      <c r="H233" s="208">
        <v>65000</v>
      </c>
    </row>
    <row r="234" spans="2:10" x14ac:dyDescent="0.25">
      <c r="B234" s="160" t="s">
        <v>276</v>
      </c>
      <c r="C234" s="161"/>
      <c r="D234" s="161"/>
      <c r="E234" s="162"/>
      <c r="F234" s="195">
        <f t="shared" ref="F234" si="5">SUM(F233)</f>
        <v>671370</v>
      </c>
      <c r="G234" s="195"/>
      <c r="H234" s="195">
        <f>SUM(H233)</f>
        <v>65000</v>
      </c>
    </row>
    <row r="235" spans="2:10" x14ac:dyDescent="0.25">
      <c r="B235" s="161"/>
      <c r="C235" s="161"/>
      <c r="D235" s="161"/>
      <c r="E235" s="162"/>
      <c r="F235" s="210"/>
      <c r="G235" s="210"/>
      <c r="H235" s="210"/>
    </row>
    <row r="236" spans="2:10" x14ac:dyDescent="0.25">
      <c r="B236" s="160" t="s">
        <v>397</v>
      </c>
      <c r="C236" s="161"/>
      <c r="D236" s="161"/>
      <c r="E236" s="162"/>
      <c r="F236" s="161"/>
      <c r="G236" s="161"/>
      <c r="H236" s="161"/>
    </row>
    <row r="237" spans="2:10" x14ac:dyDescent="0.25">
      <c r="B237" s="36" t="s">
        <v>359</v>
      </c>
    </row>
    <row r="238" spans="2:10" x14ac:dyDescent="0.25">
      <c r="B238" s="36" t="s">
        <v>360</v>
      </c>
    </row>
    <row r="240" spans="2:10" s="27" customFormat="1" x14ac:dyDescent="0.25">
      <c r="B240" s="27" t="s">
        <v>148</v>
      </c>
      <c r="E240" s="97"/>
      <c r="F240" s="99">
        <v>2021</v>
      </c>
      <c r="G240" s="99"/>
      <c r="H240" s="99">
        <v>2020</v>
      </c>
    </row>
    <row r="241" spans="2:8" s="27" customFormat="1" x14ac:dyDescent="0.25">
      <c r="B241" s="36" t="s">
        <v>178</v>
      </c>
      <c r="E241" s="97"/>
      <c r="F241" s="211">
        <f>+'[2]CONSOLIDADO 2021'!$I$82</f>
        <v>7251161.9900000002</v>
      </c>
      <c r="G241" s="211"/>
      <c r="H241" s="211">
        <v>5924222</v>
      </c>
    </row>
    <row r="242" spans="2:8" s="27" customFormat="1" x14ac:dyDescent="0.25">
      <c r="B242" s="36" t="s">
        <v>179</v>
      </c>
      <c r="E242" s="97"/>
      <c r="F242" s="211">
        <f>+'[2]CONSOLIDADO 2021'!$I$83</f>
        <v>610682.6</v>
      </c>
      <c r="G242" s="211"/>
      <c r="H242" s="211">
        <v>214760</v>
      </c>
    </row>
    <row r="243" spans="2:8" s="27" customFormat="1" x14ac:dyDescent="0.25">
      <c r="B243" s="36" t="s">
        <v>180</v>
      </c>
      <c r="E243" s="97"/>
      <c r="F243" s="211">
        <f>+'[2]CONSOLIDADO 2021'!$I$84</f>
        <v>7434</v>
      </c>
      <c r="G243" s="211"/>
      <c r="H243" s="211">
        <v>45200</v>
      </c>
    </row>
    <row r="244" spans="2:8" s="27" customFormat="1" x14ac:dyDescent="0.25">
      <c r="B244" s="36" t="s">
        <v>181</v>
      </c>
      <c r="E244" s="97"/>
      <c r="F244" s="211">
        <f>+'[2]CONSOLIDADO 2021'!$I$86</f>
        <v>2116.8000000000002</v>
      </c>
      <c r="G244" s="211"/>
      <c r="H244" s="211">
        <v>46728</v>
      </c>
    </row>
    <row r="245" spans="2:8" s="27" customFormat="1" x14ac:dyDescent="0.25">
      <c r="B245" s="36" t="s">
        <v>182</v>
      </c>
      <c r="E245" s="97"/>
      <c r="F245" s="211">
        <f>+'[2]CONSOLIDADO 2021'!$I$87</f>
        <v>388914.13999999996</v>
      </c>
      <c r="G245" s="211"/>
      <c r="H245" s="211">
        <v>976299.72</v>
      </c>
    </row>
    <row r="246" spans="2:8" s="27" customFormat="1" x14ac:dyDescent="0.25">
      <c r="B246" s="36" t="s">
        <v>183</v>
      </c>
      <c r="E246" s="97"/>
      <c r="F246" s="211">
        <f>+'[2]CONSOLIDADO 2021'!$I$88</f>
        <v>4754982.2</v>
      </c>
      <c r="G246" s="211"/>
      <c r="H246" s="211">
        <v>3032921.38</v>
      </c>
    </row>
    <row r="247" spans="2:8" s="27" customFormat="1" x14ac:dyDescent="0.25">
      <c r="B247" s="36" t="s">
        <v>184</v>
      </c>
      <c r="E247" s="97"/>
      <c r="F247" s="211">
        <f>+'[2]CONSOLIDADO 2021'!$I$89</f>
        <v>14916</v>
      </c>
      <c r="G247" s="211"/>
      <c r="H247" s="211">
        <v>719518.44</v>
      </c>
    </row>
    <row r="248" spans="2:8" s="27" customFormat="1" x14ac:dyDescent="0.25">
      <c r="B248" s="36" t="s">
        <v>185</v>
      </c>
      <c r="E248" s="97"/>
      <c r="F248" s="211">
        <f>+'[2]CONSOLIDADO 2021'!$I$91</f>
        <v>176223.2</v>
      </c>
      <c r="G248" s="211"/>
      <c r="H248" s="211">
        <v>66848.040000000008</v>
      </c>
    </row>
    <row r="249" spans="2:8" s="27" customFormat="1" x14ac:dyDescent="0.25">
      <c r="B249" s="36" t="s">
        <v>186</v>
      </c>
      <c r="E249" s="97"/>
      <c r="F249" s="211">
        <f>+'[2]CONSOLIDADO 2021'!$I$92</f>
        <v>157760.70000000001</v>
      </c>
      <c r="G249" s="211"/>
      <c r="H249" s="211">
        <v>71070.819999999992</v>
      </c>
    </row>
    <row r="250" spans="2:8" s="27" customFormat="1" x14ac:dyDescent="0.25">
      <c r="B250" s="36" t="s">
        <v>187</v>
      </c>
      <c r="E250" s="97"/>
      <c r="F250" s="211">
        <f>+'[2]CONSOLIDADO 2021'!$I$93</f>
        <v>558175.74</v>
      </c>
      <c r="G250" s="211"/>
      <c r="H250" s="211">
        <v>864245.59</v>
      </c>
    </row>
    <row r="251" spans="2:8" s="27" customFormat="1" x14ac:dyDescent="0.25">
      <c r="B251" s="36" t="s">
        <v>322</v>
      </c>
      <c r="E251" s="97"/>
      <c r="F251" s="211">
        <f>+'[2]CONSOLIDADO 2021'!$I$94</f>
        <v>6780</v>
      </c>
      <c r="G251" s="211"/>
      <c r="H251" s="211"/>
    </row>
    <row r="252" spans="2:8" s="27" customFormat="1" x14ac:dyDescent="0.25">
      <c r="B252" s="36" t="s">
        <v>323</v>
      </c>
      <c r="E252" s="97"/>
      <c r="F252" s="211">
        <f>+'[2]CONSOLIDADO 2021'!$I$96</f>
        <v>94826.9</v>
      </c>
      <c r="G252" s="211"/>
      <c r="H252" s="211"/>
    </row>
    <row r="253" spans="2:8" s="27" customFormat="1" x14ac:dyDescent="0.25">
      <c r="B253" s="36" t="s">
        <v>313</v>
      </c>
      <c r="E253" s="97"/>
      <c r="F253" s="211">
        <f>+'[2]CONSOLIDADO 2021'!$H$97</f>
        <v>42030.400000000001</v>
      </c>
      <c r="G253" s="211"/>
      <c r="H253" s="211">
        <v>24360</v>
      </c>
    </row>
    <row r="254" spans="2:8" s="27" customFormat="1" x14ac:dyDescent="0.25">
      <c r="B254" s="36" t="s">
        <v>188</v>
      </c>
      <c r="E254" s="97"/>
      <c r="F254" s="211">
        <f>+'[2]CONSOLIDADO 2021'!$I$99</f>
        <v>16899.150000000001</v>
      </c>
      <c r="G254" s="211"/>
      <c r="H254" s="211">
        <v>1693.3</v>
      </c>
    </row>
    <row r="255" spans="2:8" s="27" customFormat="1" x14ac:dyDescent="0.25">
      <c r="B255" s="36" t="s">
        <v>189</v>
      </c>
      <c r="E255" s="97"/>
      <c r="F255" s="211">
        <f>+'[2]CONSOLIDADO 2021'!$I$100</f>
        <v>339189.81999999995</v>
      </c>
      <c r="G255" s="211"/>
      <c r="H255" s="211">
        <v>173266.62</v>
      </c>
    </row>
    <row r="256" spans="2:8" s="27" customFormat="1" x14ac:dyDescent="0.25">
      <c r="B256" s="36" t="s">
        <v>190</v>
      </c>
      <c r="E256" s="97"/>
      <c r="F256" s="211">
        <f>+'[2]CONSOLIDADO 2021'!$I$101</f>
        <v>50357.01</v>
      </c>
      <c r="G256" s="211"/>
      <c r="H256" s="211">
        <v>80511.95</v>
      </c>
    </row>
    <row r="257" spans="2:9" s="27" customFormat="1" x14ac:dyDescent="0.25">
      <c r="B257" s="36" t="s">
        <v>191</v>
      </c>
      <c r="E257" s="97"/>
      <c r="F257" s="211">
        <f>+'[2]CONSOLIDADO 2021'!$I$102</f>
        <v>339965.18</v>
      </c>
      <c r="G257" s="211"/>
      <c r="H257" s="211">
        <v>206282.66</v>
      </c>
    </row>
    <row r="258" spans="2:9" s="27" customFormat="1" x14ac:dyDescent="0.25">
      <c r="B258" s="36" t="s">
        <v>236</v>
      </c>
      <c r="E258" s="97"/>
      <c r="F258" s="211">
        <f>+'[2]CONSOLIDADO 2021'!$I$104</f>
        <v>553.70000000000005</v>
      </c>
      <c r="G258" s="211"/>
      <c r="H258" s="211">
        <v>0</v>
      </c>
    </row>
    <row r="259" spans="2:9" s="27" customFormat="1" x14ac:dyDescent="0.25">
      <c r="B259" s="36" t="s">
        <v>314</v>
      </c>
      <c r="E259" s="97"/>
      <c r="F259" s="211">
        <f>+'[2]CONSOLIDADO 2021'!$I$105</f>
        <v>15859.2</v>
      </c>
      <c r="G259" s="211"/>
      <c r="H259" s="211"/>
    </row>
    <row r="260" spans="2:9" s="27" customFormat="1" x14ac:dyDescent="0.25">
      <c r="B260" s="36" t="s">
        <v>192</v>
      </c>
      <c r="E260" s="97"/>
      <c r="F260" s="211">
        <f>+'[2]CONSOLIDADO 2021'!$I$106</f>
        <v>24190</v>
      </c>
      <c r="G260" s="211"/>
      <c r="H260" s="211">
        <v>143435.61000000002</v>
      </c>
    </row>
    <row r="261" spans="2:9" s="27" customFormat="1" x14ac:dyDescent="0.25">
      <c r="B261" s="36" t="s">
        <v>193</v>
      </c>
      <c r="E261" s="97"/>
      <c r="F261" s="211">
        <f>+'[2]CONSOLIDADO 2021'!$I$107</f>
        <v>13870.75</v>
      </c>
      <c r="G261" s="211"/>
      <c r="H261" s="211">
        <v>65353.71</v>
      </c>
    </row>
    <row r="262" spans="2:9" s="27" customFormat="1" x14ac:dyDescent="0.25">
      <c r="B262" s="36" t="s">
        <v>194</v>
      </c>
      <c r="E262" s="97"/>
      <c r="F262" s="211">
        <f>+'[2]CONSOLIDADO 2021'!$I$108</f>
        <v>3646.2000000000003</v>
      </c>
      <c r="G262" s="211"/>
      <c r="H262" s="211">
        <v>26959.88</v>
      </c>
    </row>
    <row r="263" spans="2:9" s="27" customFormat="1" x14ac:dyDescent="0.25">
      <c r="B263" s="36" t="s">
        <v>195</v>
      </c>
      <c r="E263" s="97"/>
      <c r="F263" s="211">
        <f>+'[2]CONSOLIDADO 2021'!$I$109</f>
        <v>3540</v>
      </c>
      <c r="G263" s="211"/>
      <c r="H263" s="211">
        <v>7256.29</v>
      </c>
    </row>
    <row r="264" spans="2:9" s="27" customFormat="1" x14ac:dyDescent="0.25">
      <c r="B264" s="36" t="s">
        <v>196</v>
      </c>
      <c r="E264" s="97"/>
      <c r="F264" s="211"/>
      <c r="G264" s="211"/>
      <c r="H264" s="211">
        <v>303523.83999999997</v>
      </c>
    </row>
    <row r="265" spans="2:9" s="27" customFormat="1" x14ac:dyDescent="0.25">
      <c r="B265" s="36" t="s">
        <v>197</v>
      </c>
      <c r="E265" s="97"/>
      <c r="F265" s="211">
        <f>+'[2]CONSOLIDADO 2021'!$I$110</f>
        <v>176663.97999999998</v>
      </c>
      <c r="G265" s="211"/>
      <c r="H265" s="211">
        <v>326649.73</v>
      </c>
      <c r="I265" s="212"/>
    </row>
    <row r="266" spans="2:9" s="27" customFormat="1" x14ac:dyDescent="0.25">
      <c r="B266" s="36" t="s">
        <v>198</v>
      </c>
      <c r="E266" s="97"/>
      <c r="F266" s="211">
        <f>+'[2]CONSOLIDADO 2021'!$I$111</f>
        <v>179991.79</v>
      </c>
      <c r="G266" s="211"/>
      <c r="H266" s="211">
        <v>68566.260000000009</v>
      </c>
    </row>
    <row r="267" spans="2:9" s="27" customFormat="1" hidden="1" x14ac:dyDescent="0.25">
      <c r="B267" s="36" t="s">
        <v>234</v>
      </c>
      <c r="E267" s="97"/>
      <c r="F267" s="211"/>
      <c r="G267" s="211"/>
      <c r="H267" s="211">
        <v>0</v>
      </c>
    </row>
    <row r="268" spans="2:9" s="27" customFormat="1" x14ac:dyDescent="0.25">
      <c r="B268" s="36" t="s">
        <v>199</v>
      </c>
      <c r="E268" s="97"/>
      <c r="F268" s="211">
        <f>+'[2]CONSOLIDADO 2021'!$I$114</f>
        <v>5940000</v>
      </c>
      <c r="G268" s="211"/>
      <c r="H268" s="211">
        <v>3940000</v>
      </c>
    </row>
    <row r="269" spans="2:9" s="27" customFormat="1" x14ac:dyDescent="0.25">
      <c r="B269" s="36" t="s">
        <v>200</v>
      </c>
      <c r="E269" s="97"/>
      <c r="F269" s="211">
        <f>+'[2]CONSOLIDADO 2021'!$I$115</f>
        <v>3029382.6892535733</v>
      </c>
      <c r="G269" s="211"/>
      <c r="H269" s="211">
        <v>5200000</v>
      </c>
    </row>
    <row r="270" spans="2:9" s="27" customFormat="1" hidden="1" x14ac:dyDescent="0.25">
      <c r="B270" s="36" t="s">
        <v>201</v>
      </c>
      <c r="E270" s="97"/>
      <c r="F270" s="211"/>
      <c r="G270" s="211"/>
      <c r="H270" s="211">
        <v>0</v>
      </c>
    </row>
    <row r="271" spans="2:9" s="27" customFormat="1" x14ac:dyDescent="0.25">
      <c r="B271" s="36" t="s">
        <v>202</v>
      </c>
      <c r="E271" s="97"/>
      <c r="F271" s="211">
        <f>+'[2]CONSOLIDADO 2021'!$I$116</f>
        <v>97790.170000000013</v>
      </c>
      <c r="G271" s="211"/>
      <c r="H271" s="211">
        <v>58278.979999999996</v>
      </c>
    </row>
    <row r="272" spans="2:9" s="27" customFormat="1" x14ac:dyDescent="0.25">
      <c r="B272" s="36" t="s">
        <v>203</v>
      </c>
      <c r="E272" s="97"/>
      <c r="F272" s="211">
        <f>+'[2]CONSOLIDADO 2021'!$I$117</f>
        <v>106463.09000000001</v>
      </c>
      <c r="G272" s="211"/>
      <c r="H272" s="211">
        <v>36238.019999999997</v>
      </c>
    </row>
    <row r="273" spans="2:9" s="27" customFormat="1" x14ac:dyDescent="0.25">
      <c r="B273" s="36" t="s">
        <v>204</v>
      </c>
      <c r="E273" s="97"/>
      <c r="F273" s="211">
        <f>+'[2]CONSOLIDADO 2021'!$I$118</f>
        <v>442.5</v>
      </c>
      <c r="G273" s="211"/>
      <c r="H273" s="211">
        <v>45379.85</v>
      </c>
    </row>
    <row r="274" spans="2:9" s="27" customFormat="1" x14ac:dyDescent="0.25">
      <c r="B274" s="36" t="s">
        <v>205</v>
      </c>
      <c r="E274" s="97"/>
      <c r="F274" s="211">
        <f>+'[2]CONSOLIDADO 2021'!$I$119</f>
        <v>107660</v>
      </c>
      <c r="G274" s="211"/>
      <c r="H274" s="211">
        <v>43167</v>
      </c>
    </row>
    <row r="275" spans="2:9" s="27" customFormat="1" x14ac:dyDescent="0.25">
      <c r="B275" s="36" t="s">
        <v>235</v>
      </c>
      <c r="E275" s="97"/>
      <c r="F275" s="211">
        <f>+'[2]CONSOLIDADO 2021'!$I$120</f>
        <v>3129</v>
      </c>
      <c r="G275" s="211"/>
      <c r="H275" s="211">
        <v>0</v>
      </c>
    </row>
    <row r="276" spans="2:9" s="27" customFormat="1" x14ac:dyDescent="0.25">
      <c r="B276" s="36" t="s">
        <v>207</v>
      </c>
      <c r="E276" s="97"/>
      <c r="F276" s="211">
        <f>+'[2]CONSOLIDADO 2021'!$I$121</f>
        <v>482251.15</v>
      </c>
      <c r="G276" s="211"/>
      <c r="H276" s="211">
        <v>321754.83</v>
      </c>
    </row>
    <row r="277" spans="2:9" s="27" customFormat="1" x14ac:dyDescent="0.25">
      <c r="B277" s="36" t="s">
        <v>206</v>
      </c>
      <c r="E277" s="97"/>
      <c r="F277" s="211">
        <f>+'[2]CONSOLIDADO 2021'!$I$122</f>
        <v>80586.12</v>
      </c>
      <c r="G277" s="211"/>
      <c r="H277" s="211">
        <v>26532.87</v>
      </c>
    </row>
    <row r="278" spans="2:9" s="27" customFormat="1" x14ac:dyDescent="0.25">
      <c r="B278" s="36" t="s">
        <v>208</v>
      </c>
      <c r="E278" s="97"/>
      <c r="F278" s="211">
        <f>+'[2]CONSOLIDADO 2021'!$I$124</f>
        <v>310517.81</v>
      </c>
      <c r="G278" s="211"/>
      <c r="H278" s="211">
        <v>120596</v>
      </c>
    </row>
    <row r="279" spans="2:9" s="27" customFormat="1" x14ac:dyDescent="0.25">
      <c r="B279" s="36" t="s">
        <v>209</v>
      </c>
      <c r="E279" s="97"/>
      <c r="F279" s="211">
        <f>+'[2]CONSOLIDADO 2021'!$I$125</f>
        <v>647661.97</v>
      </c>
      <c r="G279" s="211"/>
      <c r="H279" s="211">
        <v>553091.11</v>
      </c>
    </row>
    <row r="280" spans="2:9" s="27" customFormat="1" x14ac:dyDescent="0.25">
      <c r="B280" s="36" t="s">
        <v>324</v>
      </c>
      <c r="E280" s="97"/>
      <c r="F280" s="211">
        <f>+'[2]CONSOLIDADO 2021'!$I$126</f>
        <v>3164</v>
      </c>
      <c r="G280" s="211"/>
      <c r="H280" s="211"/>
    </row>
    <row r="281" spans="2:9" s="27" customFormat="1" x14ac:dyDescent="0.25">
      <c r="B281" s="36" t="s">
        <v>210</v>
      </c>
      <c r="E281" s="97"/>
      <c r="F281" s="211">
        <f>+'[2]CONSOLIDADO 2021'!$I$127</f>
        <v>485938.033</v>
      </c>
      <c r="G281" s="211"/>
      <c r="H281" s="211">
        <v>1621972.96</v>
      </c>
    </row>
    <row r="282" spans="2:9" s="27" customFormat="1" x14ac:dyDescent="0.25">
      <c r="B282" s="36" t="s">
        <v>211</v>
      </c>
      <c r="E282" s="97"/>
      <c r="F282" s="211">
        <f>+'[2]CONSOLIDADO 2021'!$I$128</f>
        <v>47289.22</v>
      </c>
      <c r="G282" s="211"/>
      <c r="H282" s="211">
        <v>31670.02</v>
      </c>
    </row>
    <row r="283" spans="2:9" s="27" customFormat="1" x14ac:dyDescent="0.25">
      <c r="B283" s="36" t="s">
        <v>212</v>
      </c>
      <c r="E283" s="97"/>
      <c r="F283" s="211">
        <f>+'[2]CONSOLIDADO 2021'!$I$129</f>
        <v>1223098.1299999999</v>
      </c>
      <c r="G283" s="211"/>
      <c r="H283" s="211">
        <v>1936068.85</v>
      </c>
    </row>
    <row r="284" spans="2:9" s="27" customFormat="1" x14ac:dyDescent="0.25">
      <c r="B284" s="36" t="s">
        <v>325</v>
      </c>
      <c r="E284" s="97"/>
      <c r="F284" s="211">
        <f>+'[2]CONSOLIDADO 2021'!$I$130</f>
        <v>465595.04000000004</v>
      </c>
      <c r="G284" s="211"/>
      <c r="H284" s="211"/>
    </row>
    <row r="285" spans="2:9" s="27" customFormat="1" x14ac:dyDescent="0.25">
      <c r="B285" s="36" t="s">
        <v>213</v>
      </c>
      <c r="E285" s="97"/>
      <c r="F285" s="211">
        <f>+'[2]CONSOLIDADO 2021'!$I$131</f>
        <v>42747.9</v>
      </c>
      <c r="G285" s="211"/>
      <c r="H285" s="211">
        <v>1558045.6099999999</v>
      </c>
    </row>
    <row r="286" spans="2:9" s="27" customFormat="1" x14ac:dyDescent="0.25">
      <c r="B286" s="36" t="s">
        <v>214</v>
      </c>
      <c r="E286" s="97"/>
      <c r="F286" s="211">
        <f>+'[2]CONSOLIDADO 2021'!$I$132</f>
        <v>226170.23999999999</v>
      </c>
      <c r="G286" s="211"/>
      <c r="H286" s="211">
        <v>303438.64999999997</v>
      </c>
    </row>
    <row r="287" spans="2:9" s="27" customFormat="1" x14ac:dyDescent="0.25">
      <c r="B287" s="36" t="s">
        <v>215</v>
      </c>
      <c r="E287" s="97"/>
      <c r="F287" s="211">
        <f>+'[2]CONSOLIDADO 2021'!$I$133</f>
        <v>497433.52</v>
      </c>
      <c r="G287" s="211"/>
      <c r="H287" s="211">
        <v>6456.2</v>
      </c>
    </row>
    <row r="288" spans="2:9" s="27" customFormat="1" ht="15.75" thickBot="1" x14ac:dyDescent="0.3">
      <c r="B288" s="36" t="s">
        <v>216</v>
      </c>
      <c r="D288" s="212"/>
      <c r="E288" s="97"/>
      <c r="F288" s="213"/>
      <c r="G288" s="214"/>
      <c r="H288" s="213">
        <v>0</v>
      </c>
      <c r="I288" s="215"/>
    </row>
    <row r="289" spans="2:10" ht="15.75" thickTop="1" x14ac:dyDescent="0.25">
      <c r="B289" s="27" t="s">
        <v>362</v>
      </c>
      <c r="F289" s="216">
        <f>SUM(F241:F288)</f>
        <v>29028052.03225356</v>
      </c>
      <c r="G289" s="216"/>
      <c r="H289" s="216">
        <f>SUM(H241:H288)</f>
        <v>29192364.789999995</v>
      </c>
    </row>
    <row r="290" spans="2:10" x14ac:dyDescent="0.25">
      <c r="F290" s="216"/>
      <c r="G290" s="117"/>
      <c r="H290" s="216"/>
    </row>
    <row r="291" spans="2:10" x14ac:dyDescent="0.25">
      <c r="F291" s="216"/>
      <c r="G291" s="117"/>
      <c r="H291" s="216"/>
    </row>
    <row r="292" spans="2:10" ht="31.5" customHeight="1" x14ac:dyDescent="0.25">
      <c r="B292" s="27" t="s">
        <v>398</v>
      </c>
      <c r="F292" s="217"/>
      <c r="G292" s="110"/>
      <c r="H292" s="109"/>
    </row>
    <row r="293" spans="2:10" ht="15" customHeight="1" x14ac:dyDescent="0.25">
      <c r="B293" s="36" t="s">
        <v>326</v>
      </c>
      <c r="F293" s="217"/>
      <c r="G293" s="110"/>
      <c r="H293" s="109"/>
    </row>
    <row r="294" spans="2:10" ht="15" customHeight="1" x14ac:dyDescent="0.25">
      <c r="F294" s="217"/>
      <c r="G294" s="110"/>
      <c r="H294" s="218"/>
    </row>
    <row r="295" spans="2:10" ht="15" customHeight="1" x14ac:dyDescent="0.25">
      <c r="B295" s="27" t="s">
        <v>148</v>
      </c>
      <c r="F295" s="218">
        <v>2021</v>
      </c>
      <c r="G295" s="219"/>
      <c r="H295" s="218">
        <v>2020</v>
      </c>
    </row>
    <row r="296" spans="2:10" ht="15" customHeight="1" x14ac:dyDescent="0.25">
      <c r="B296" s="36" t="s">
        <v>278</v>
      </c>
      <c r="F296" s="220">
        <f>+J88</f>
        <v>25398896.850000013</v>
      </c>
      <c r="G296" s="221"/>
      <c r="H296" s="220">
        <v>24540454.239999998</v>
      </c>
    </row>
    <row r="297" spans="2:10" ht="15.75" customHeight="1" x14ac:dyDescent="0.25">
      <c r="F297" s="222">
        <f>+F296</f>
        <v>25398896.850000013</v>
      </c>
      <c r="G297" s="117"/>
      <c r="H297" s="222">
        <f>H296</f>
        <v>24540454.239999998</v>
      </c>
    </row>
    <row r="298" spans="2:10" x14ac:dyDescent="0.25">
      <c r="B298" s="27" t="s">
        <v>399</v>
      </c>
      <c r="F298" s="223"/>
      <c r="G298" s="98"/>
      <c r="I298" s="114"/>
      <c r="J298" s="113"/>
    </row>
    <row r="299" spans="2:10" x14ac:dyDescent="0.25">
      <c r="B299" s="36" t="s">
        <v>361</v>
      </c>
      <c r="F299" s="223"/>
      <c r="J299" s="113"/>
    </row>
    <row r="300" spans="2:10" x14ac:dyDescent="0.25">
      <c r="B300" s="36" t="s">
        <v>287</v>
      </c>
      <c r="F300" s="223"/>
      <c r="J300" s="113"/>
    </row>
    <row r="301" spans="2:10" s="27" customFormat="1" x14ac:dyDescent="0.25">
      <c r="B301" s="27" t="s">
        <v>143</v>
      </c>
      <c r="E301" s="97"/>
      <c r="F301" s="224">
        <v>2021</v>
      </c>
      <c r="G301" s="99"/>
      <c r="H301" s="99">
        <v>2020</v>
      </c>
      <c r="I301" s="215"/>
    </row>
    <row r="302" spans="2:10" s="27" customFormat="1" x14ac:dyDescent="0.25">
      <c r="B302" s="36" t="s">
        <v>172</v>
      </c>
      <c r="E302" s="97"/>
      <c r="F302" s="169">
        <f>+'[2]CONSOLIDADO 2021'!$I$35</f>
        <v>7689439.79</v>
      </c>
      <c r="G302" s="225"/>
      <c r="H302" s="226">
        <v>7487106.5600000005</v>
      </c>
      <c r="I302" s="97"/>
      <c r="J302" s="97"/>
    </row>
    <row r="303" spans="2:10" s="27" customFormat="1" x14ac:dyDescent="0.25">
      <c r="B303" s="36" t="s">
        <v>173</v>
      </c>
      <c r="E303" s="97"/>
      <c r="F303" s="169">
        <f>+'[2]CONSOLIDADO 2021'!$I$36</f>
        <v>652049.33000000007</v>
      </c>
      <c r="G303" s="227"/>
      <c r="H303" s="226">
        <v>1139137.2099999997</v>
      </c>
    </row>
    <row r="304" spans="2:10" s="27" customFormat="1" x14ac:dyDescent="0.25">
      <c r="B304" s="36" t="s">
        <v>174</v>
      </c>
      <c r="E304" s="97"/>
      <c r="F304" s="169">
        <f>+'[2]CONSOLIDADO 2021'!$I$37</f>
        <v>5723224.6000000024</v>
      </c>
      <c r="G304" s="227"/>
      <c r="H304" s="226">
        <v>4745197.9000000004</v>
      </c>
    </row>
    <row r="305" spans="2:8" s="27" customFormat="1" x14ac:dyDescent="0.25">
      <c r="B305" s="36" t="s">
        <v>175</v>
      </c>
      <c r="E305" s="97"/>
      <c r="F305" s="169">
        <f>+'[2]CONSOLIDADO 2021'!$I$38</f>
        <v>203821</v>
      </c>
      <c r="G305" s="227"/>
      <c r="H305" s="226">
        <v>222889</v>
      </c>
    </row>
    <row r="306" spans="2:8" s="27" customFormat="1" x14ac:dyDescent="0.25">
      <c r="B306" s="36" t="s">
        <v>176</v>
      </c>
      <c r="E306" s="97"/>
      <c r="F306" s="169">
        <f>+'[2]CONSOLIDADO 2021'!$I$39</f>
        <v>24145</v>
      </c>
      <c r="G306" s="227"/>
      <c r="H306" s="226">
        <v>23912</v>
      </c>
    </row>
    <row r="307" spans="2:8" s="27" customFormat="1" x14ac:dyDescent="0.25">
      <c r="B307" s="36" t="s">
        <v>177</v>
      </c>
      <c r="E307" s="97"/>
      <c r="F307" s="169">
        <f>+'[2]CONSOLIDADO 2021'!$I$41</f>
        <v>124486.45</v>
      </c>
      <c r="G307" s="227"/>
      <c r="H307" s="226">
        <v>13172.25</v>
      </c>
    </row>
    <row r="308" spans="2:8" s="27" customFormat="1" x14ac:dyDescent="0.25">
      <c r="B308" s="36" t="s">
        <v>217</v>
      </c>
      <c r="C308" s="36"/>
      <c r="D308" s="36"/>
      <c r="E308" s="98"/>
      <c r="F308" s="169">
        <f>+'[2]CONSOLIDADO 2021'!$I$43</f>
        <v>7456001.0499999998</v>
      </c>
      <c r="G308" s="227"/>
      <c r="H308" s="226">
        <v>5064300</v>
      </c>
    </row>
    <row r="309" spans="2:8" s="27" customFormat="1" x14ac:dyDescent="0.25">
      <c r="B309" s="36" t="s">
        <v>218</v>
      </c>
      <c r="C309" s="36"/>
      <c r="D309" s="36"/>
      <c r="E309" s="98"/>
      <c r="F309" s="169">
        <f>+'[2]CONSOLIDADO 2021'!$I$44</f>
        <v>13939.2</v>
      </c>
      <c r="G309" s="227"/>
      <c r="H309" s="226">
        <v>81621.179999999993</v>
      </c>
    </row>
    <row r="310" spans="2:8" s="27" customFormat="1" hidden="1" x14ac:dyDescent="0.25">
      <c r="B310" s="36" t="s">
        <v>237</v>
      </c>
      <c r="C310" s="36"/>
      <c r="D310" s="36"/>
      <c r="E310" s="98"/>
      <c r="F310" s="169"/>
      <c r="G310" s="227"/>
      <c r="H310" s="226">
        <v>0</v>
      </c>
    </row>
    <row r="311" spans="2:8" s="27" customFormat="1" x14ac:dyDescent="0.25">
      <c r="B311" s="36" t="s">
        <v>238</v>
      </c>
      <c r="C311" s="36"/>
      <c r="D311" s="36"/>
      <c r="E311" s="98"/>
      <c r="F311" s="169">
        <f>+'[2]CONSOLIDADO 2021'!$I$46</f>
        <v>54707.38</v>
      </c>
      <c r="G311" s="227"/>
      <c r="H311" s="226">
        <v>0</v>
      </c>
    </row>
    <row r="312" spans="2:8" s="27" customFormat="1" x14ac:dyDescent="0.25">
      <c r="B312" s="36" t="s">
        <v>219</v>
      </c>
      <c r="C312" s="36"/>
      <c r="D312" s="36"/>
      <c r="E312" s="98"/>
      <c r="F312" s="169">
        <f>+'[2]CONSOLIDADO 2021'!$I$48</f>
        <v>113358.75</v>
      </c>
      <c r="G312" s="227"/>
      <c r="H312" s="226">
        <v>300000</v>
      </c>
    </row>
    <row r="313" spans="2:8" s="27" customFormat="1" x14ac:dyDescent="0.25">
      <c r="B313" s="36" t="s">
        <v>310</v>
      </c>
      <c r="C313" s="36"/>
      <c r="D313" s="36"/>
      <c r="E313" s="98"/>
      <c r="F313" s="169">
        <f>+'[2]CONSOLIDADO 2021'!$I$49</f>
        <v>16140</v>
      </c>
      <c r="G313" s="227"/>
      <c r="H313" s="226"/>
    </row>
    <row r="314" spans="2:8" s="27" customFormat="1" x14ac:dyDescent="0.25">
      <c r="B314" s="36" t="s">
        <v>221</v>
      </c>
      <c r="C314" s="36"/>
      <c r="D314" s="36"/>
      <c r="E314" s="98"/>
      <c r="F314" s="169">
        <f>+'[2]CONSOLIDADO 2021'!$I$51</f>
        <v>0</v>
      </c>
      <c r="G314" s="227"/>
      <c r="H314" s="226">
        <v>5380</v>
      </c>
    </row>
    <row r="315" spans="2:8" s="27" customFormat="1" x14ac:dyDescent="0.25">
      <c r="B315" s="36" t="s">
        <v>220</v>
      </c>
      <c r="C315" s="36"/>
      <c r="D315" s="36"/>
      <c r="E315" s="98"/>
      <c r="F315" s="169">
        <f>+'[2]CONSOLIDADO 2021'!$I$50</f>
        <v>224672</v>
      </c>
      <c r="G315" s="227"/>
      <c r="H315" s="226">
        <v>199220</v>
      </c>
    </row>
    <row r="316" spans="2:8" s="27" customFormat="1" x14ac:dyDescent="0.25">
      <c r="B316" s="36" t="s">
        <v>239</v>
      </c>
      <c r="C316" s="36"/>
      <c r="D316" s="36"/>
      <c r="E316" s="98"/>
      <c r="F316" s="169">
        <f>+'[2]CONSOLIDADO 2021'!$I$52</f>
        <v>39166.400000000001</v>
      </c>
      <c r="G316" s="227"/>
      <c r="H316" s="226">
        <v>0</v>
      </c>
    </row>
    <row r="317" spans="2:8" s="27" customFormat="1" x14ac:dyDescent="0.25">
      <c r="B317" s="36" t="s">
        <v>222</v>
      </c>
      <c r="C317" s="36"/>
      <c r="D317" s="36"/>
      <c r="E317" s="98"/>
      <c r="F317" s="169">
        <f>+'[2]CONSOLIDADO 2021'!$I$54</f>
        <v>181250</v>
      </c>
      <c r="G317" s="227"/>
      <c r="H317" s="226">
        <v>86060.4</v>
      </c>
    </row>
    <row r="318" spans="2:8" s="27" customFormat="1" x14ac:dyDescent="0.25">
      <c r="B318" s="36" t="s">
        <v>328</v>
      </c>
      <c r="C318" s="36"/>
      <c r="D318" s="36"/>
      <c r="E318" s="98"/>
      <c r="F318" s="169">
        <f>+'[2]CONSOLIDADO 2021'!$I$55</f>
        <v>394600.32</v>
      </c>
      <c r="G318" s="227"/>
      <c r="H318" s="226"/>
    </row>
    <row r="319" spans="2:8" s="27" customFormat="1" x14ac:dyDescent="0.25">
      <c r="B319" s="36" t="s">
        <v>223</v>
      </c>
      <c r="C319" s="36"/>
      <c r="D319" s="36"/>
      <c r="E319" s="98"/>
      <c r="F319" s="169">
        <f>+'[2]CONSOLIDADO 2021'!$I$57</f>
        <v>3354500.1500000004</v>
      </c>
      <c r="G319" s="227"/>
      <c r="H319" s="226">
        <v>3130830.85</v>
      </c>
    </row>
    <row r="320" spans="2:8" s="27" customFormat="1" x14ac:dyDescent="0.25">
      <c r="B320" s="36" t="s">
        <v>224</v>
      </c>
      <c r="C320" s="36"/>
      <c r="D320" s="36"/>
      <c r="E320" s="98"/>
      <c r="F320" s="169">
        <f>+'[2]CONSOLIDADO 2021'!$I$58</f>
        <v>8924400</v>
      </c>
      <c r="G320" s="227"/>
      <c r="H320" s="226">
        <v>9186206.9199999999</v>
      </c>
    </row>
    <row r="321" spans="2:8" s="27" customFormat="1" x14ac:dyDescent="0.25">
      <c r="B321" s="36" t="s">
        <v>240</v>
      </c>
      <c r="C321" s="36"/>
      <c r="D321" s="36"/>
      <c r="E321" s="98"/>
      <c r="F321" s="169">
        <f>+'[2]CONSOLIDADO 2021'!$I$60</f>
        <v>555915.30000000005</v>
      </c>
      <c r="G321" s="227"/>
      <c r="H321" s="226">
        <v>0</v>
      </c>
    </row>
    <row r="322" spans="2:8" s="27" customFormat="1" x14ac:dyDescent="0.25">
      <c r="B322" s="36" t="s">
        <v>225</v>
      </c>
      <c r="C322" s="36"/>
      <c r="D322" s="36"/>
      <c r="E322" s="98"/>
      <c r="F322" s="169">
        <f>+'[2]CONSOLIDADO 2021'!$I$61</f>
        <v>39550</v>
      </c>
      <c r="G322" s="227"/>
      <c r="H322" s="226">
        <v>34810</v>
      </c>
    </row>
    <row r="323" spans="2:8" s="27" customFormat="1" x14ac:dyDescent="0.25">
      <c r="B323" s="36" t="s">
        <v>226</v>
      </c>
      <c r="C323" s="36"/>
      <c r="D323" s="36"/>
      <c r="E323" s="98"/>
      <c r="F323" s="169"/>
      <c r="G323" s="227"/>
      <c r="H323" s="226">
        <v>26284.5</v>
      </c>
    </row>
    <row r="324" spans="2:8" s="27" customFormat="1" x14ac:dyDescent="0.25">
      <c r="B324" s="36" t="s">
        <v>227</v>
      </c>
      <c r="C324" s="36"/>
      <c r="D324" s="36"/>
      <c r="E324" s="98"/>
      <c r="F324" s="169">
        <f>+'[2]CONSOLIDADO 2021'!$I$62</f>
        <v>10561</v>
      </c>
      <c r="G324" s="227"/>
      <c r="H324" s="226">
        <v>9010.6200000000008</v>
      </c>
    </row>
    <row r="325" spans="2:8" s="27" customFormat="1" x14ac:dyDescent="0.25">
      <c r="B325" s="36" t="s">
        <v>228</v>
      </c>
      <c r="C325" s="36"/>
      <c r="D325" s="36"/>
      <c r="E325" s="98"/>
      <c r="F325" s="169">
        <f>+'[2]CONSOLIDADO 2021'!$I$63</f>
        <v>933562.3</v>
      </c>
      <c r="G325" s="227"/>
      <c r="H325" s="226">
        <v>852154.52</v>
      </c>
    </row>
    <row r="326" spans="2:8" x14ac:dyDescent="0.25">
      <c r="B326" s="36" t="s">
        <v>229</v>
      </c>
      <c r="F326" s="169">
        <f>+'[2]CONSOLIDADO 2021'!$I$64</f>
        <v>269503.11</v>
      </c>
      <c r="G326" s="100"/>
      <c r="H326" s="226">
        <v>206800.3</v>
      </c>
    </row>
    <row r="327" spans="2:8" x14ac:dyDescent="0.25">
      <c r="B327" s="36" t="s">
        <v>311</v>
      </c>
      <c r="F327" s="169">
        <f>+'[2]CONSOLIDADO 2021'!$I$65</f>
        <v>23242.146440677967</v>
      </c>
      <c r="G327" s="100"/>
      <c r="H327" s="226"/>
    </row>
    <row r="328" spans="2:8" x14ac:dyDescent="0.25">
      <c r="B328" s="36" t="s">
        <v>230</v>
      </c>
      <c r="F328" s="169">
        <f>+'[2]CONSOLIDADO 2021'!$I$67</f>
        <v>45728.5</v>
      </c>
      <c r="G328" s="100"/>
      <c r="H328" s="226">
        <v>40017.1</v>
      </c>
    </row>
    <row r="329" spans="2:8" x14ac:dyDescent="0.25">
      <c r="B329" s="36" t="s">
        <v>245</v>
      </c>
      <c r="F329" s="169">
        <f>+'[2]CONSOLIDADO 2021'!$I$68</f>
        <v>13786</v>
      </c>
      <c r="G329" s="100"/>
      <c r="H329" s="226">
        <v>0</v>
      </c>
    </row>
    <row r="330" spans="2:8" x14ac:dyDescent="0.25">
      <c r="B330" s="36" t="s">
        <v>241</v>
      </c>
      <c r="F330" s="169">
        <f>+'[2]CONSOLIDADO 2021'!$I$69</f>
        <v>44635</v>
      </c>
      <c r="G330" s="100"/>
      <c r="H330" s="226">
        <v>0</v>
      </c>
    </row>
    <row r="331" spans="2:8" x14ac:dyDescent="0.25">
      <c r="B331" s="36" t="s">
        <v>242</v>
      </c>
      <c r="F331" s="169">
        <f>+'[2]CONSOLIDADO 2021'!$I$70</f>
        <v>33900</v>
      </c>
      <c r="G331" s="100"/>
      <c r="H331" s="226">
        <v>0</v>
      </c>
    </row>
    <row r="332" spans="2:8" x14ac:dyDescent="0.25">
      <c r="B332" s="36" t="s">
        <v>243</v>
      </c>
      <c r="F332" s="169">
        <f>+'[2]CONSOLIDADO 2021'!$I$71</f>
        <v>97180</v>
      </c>
      <c r="G332" s="100"/>
      <c r="H332" s="226">
        <v>0</v>
      </c>
    </row>
    <row r="333" spans="2:8" x14ac:dyDescent="0.25">
      <c r="B333" s="36" t="s">
        <v>330</v>
      </c>
      <c r="F333" s="169">
        <f>+'[2]CONSOLIDADO 2021'!$I$72</f>
        <v>266504</v>
      </c>
      <c r="G333" s="100"/>
      <c r="H333" s="226"/>
    </row>
    <row r="334" spans="2:8" x14ac:dyDescent="0.25">
      <c r="B334" s="36" t="s">
        <v>244</v>
      </c>
      <c r="F334" s="169">
        <f>+'[2]CONSOLIDADO 2021'!$I$74</f>
        <v>752414.19</v>
      </c>
      <c r="G334" s="100"/>
      <c r="H334" s="226">
        <v>0</v>
      </c>
    </row>
    <row r="335" spans="2:8" x14ac:dyDescent="0.25">
      <c r="B335" s="36" t="s">
        <v>231</v>
      </c>
      <c r="F335" s="169">
        <f>+'[2]CONSOLIDADO 2021'!$I$73</f>
        <v>12000</v>
      </c>
      <c r="G335" s="100"/>
      <c r="H335" s="226">
        <v>64600</v>
      </c>
    </row>
    <row r="336" spans="2:8" x14ac:dyDescent="0.25">
      <c r="B336" s="36" t="s">
        <v>27</v>
      </c>
      <c r="F336" s="169">
        <f>+'[2]CONSOLIDADO 2021'!$I$75</f>
        <v>1276037.1499999999</v>
      </c>
      <c r="G336" s="100"/>
      <c r="H336" s="226">
        <v>1203919.9500000018</v>
      </c>
    </row>
    <row r="337" spans="2:10" x14ac:dyDescent="0.25">
      <c r="B337" s="36" t="s">
        <v>329</v>
      </c>
      <c r="F337" s="169">
        <f>+'[2]CONSOLIDADO 2021'!$I$77</f>
        <v>51648</v>
      </c>
      <c r="G337" s="100"/>
      <c r="H337" s="226"/>
    </row>
    <row r="338" spans="2:10" x14ac:dyDescent="0.25">
      <c r="B338" s="36" t="s">
        <v>232</v>
      </c>
      <c r="F338" s="169">
        <f>+'[2]CONSOLIDADO 2021'!$I$78</f>
        <v>307102.78999999998</v>
      </c>
      <c r="G338" s="100"/>
      <c r="H338" s="226">
        <v>518514.72</v>
      </c>
      <c r="J338" s="114"/>
    </row>
    <row r="339" spans="2:10" x14ac:dyDescent="0.25">
      <c r="B339" s="36" t="s">
        <v>312</v>
      </c>
      <c r="F339" s="169">
        <f>+'[2]CONSOLIDADO 2021'!$I$79</f>
        <v>349210.9</v>
      </c>
      <c r="G339" s="100"/>
      <c r="H339" s="226"/>
      <c r="J339" s="114"/>
    </row>
    <row r="340" spans="2:10" x14ac:dyDescent="0.25">
      <c r="B340" s="36" t="s">
        <v>327</v>
      </c>
      <c r="F340" s="169"/>
      <c r="G340" s="100"/>
      <c r="H340" s="228">
        <v>329928</v>
      </c>
      <c r="J340" s="114"/>
    </row>
    <row r="341" spans="2:10" x14ac:dyDescent="0.25">
      <c r="B341" s="27" t="s">
        <v>263</v>
      </c>
      <c r="D341" s="169"/>
      <c r="F341" s="229">
        <f>SUM(F302:F339)</f>
        <v>40272381.806440666</v>
      </c>
      <c r="G341" s="229"/>
      <c r="H341" s="229">
        <f>SUM(H302:H340)</f>
        <v>34971073.980000004</v>
      </c>
      <c r="I341" s="229">
        <f>SUM(K302:K338)</f>
        <v>0</v>
      </c>
    </row>
    <row r="342" spans="2:10" hidden="1" x14ac:dyDescent="0.25">
      <c r="B342" s="27" t="s">
        <v>126</v>
      </c>
    </row>
    <row r="343" spans="2:10" hidden="1" x14ac:dyDescent="0.25">
      <c r="B343" s="36" t="s">
        <v>127</v>
      </c>
    </row>
    <row r="344" spans="2:10" hidden="1" x14ac:dyDescent="0.25">
      <c r="B344" s="36" t="s">
        <v>128</v>
      </c>
    </row>
    <row r="345" spans="2:10" hidden="1" x14ac:dyDescent="0.25">
      <c r="B345" s="36" t="s">
        <v>129</v>
      </c>
    </row>
    <row r="346" spans="2:10" hidden="1" x14ac:dyDescent="0.25">
      <c r="B346" s="36" t="s">
        <v>130</v>
      </c>
    </row>
    <row r="347" spans="2:10" hidden="1" x14ac:dyDescent="0.25">
      <c r="B347" s="36" t="s">
        <v>131</v>
      </c>
    </row>
    <row r="348" spans="2:10" hidden="1" x14ac:dyDescent="0.25">
      <c r="B348" s="36" t="s">
        <v>132</v>
      </c>
    </row>
    <row r="349" spans="2:10" hidden="1" x14ac:dyDescent="0.25">
      <c r="B349" s="36" t="s">
        <v>129</v>
      </c>
    </row>
    <row r="350" spans="2:10" hidden="1" x14ac:dyDescent="0.25">
      <c r="B350" s="36" t="s">
        <v>130</v>
      </c>
    </row>
  </sheetData>
  <mergeCells count="3">
    <mergeCell ref="B222:D222"/>
    <mergeCell ref="B229:J230"/>
    <mergeCell ref="B116:F116"/>
  </mergeCells>
  <pageMargins left="0.70866141732283472" right="0.70866141732283472" top="0.74803149606299213" bottom="0.74803149606299213" header="0.31496062992125984" footer="0.31496062992125984"/>
  <pageSetup scale="43" orientation="landscape" r:id="rId1"/>
  <rowBreaks count="4" manualBreakCount="4">
    <brk id="112" max="9" man="1"/>
    <brk id="167" max="9" man="1"/>
    <brk id="225" max="9" man="1"/>
    <brk id="290" max="16383" man="1"/>
  </rowBreaks>
  <colBreaks count="1" manualBreakCount="1">
    <brk id="16" max="1048575" man="1"/>
  </colBreaks>
  <ignoredErrors>
    <ignoredError sqref="H132 F132 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zoomScale="130" zoomScaleNormal="130" workbookViewId="0">
      <selection activeCell="F17" sqref="F17"/>
    </sheetView>
  </sheetViews>
  <sheetFormatPr baseColWidth="10" defaultColWidth="11.42578125" defaultRowHeight="15.75" x14ac:dyDescent="0.25"/>
  <cols>
    <col min="1" max="1" width="49.140625" style="7" customWidth="1"/>
    <col min="2" max="2" width="17.85546875" style="7" customWidth="1"/>
    <col min="3" max="3" width="2.28515625" style="7" customWidth="1"/>
    <col min="4" max="4" width="17.85546875" style="7" customWidth="1"/>
    <col min="5" max="5" width="17.28515625" style="7" customWidth="1"/>
    <col min="6" max="6" width="18" style="7" customWidth="1"/>
    <col min="7" max="8" width="14.5703125" style="7" bestFit="1" customWidth="1"/>
    <col min="9" max="16384" width="11.42578125" style="7"/>
  </cols>
  <sheetData>
    <row r="1" spans="1:9" ht="93" customHeight="1" x14ac:dyDescent="0.25">
      <c r="A1" s="301" t="s">
        <v>281</v>
      </c>
      <c r="B1" s="301"/>
      <c r="C1" s="301"/>
      <c r="D1" s="301"/>
    </row>
    <row r="2" spans="1:9" x14ac:dyDescent="0.25">
      <c r="A2" s="300" t="s">
        <v>26</v>
      </c>
      <c r="B2" s="300"/>
      <c r="C2" s="300"/>
      <c r="D2" s="300"/>
    </row>
    <row r="3" spans="1:9" x14ac:dyDescent="0.25">
      <c r="A3" s="300" t="s">
        <v>333</v>
      </c>
      <c r="B3" s="300"/>
      <c r="C3" s="300"/>
      <c r="D3" s="300"/>
    </row>
    <row r="4" spans="1:9" x14ac:dyDescent="0.25">
      <c r="A4" s="300" t="s">
        <v>40</v>
      </c>
      <c r="B4" s="300"/>
      <c r="C4" s="300"/>
      <c r="D4" s="300"/>
    </row>
    <row r="5" spans="1:9" x14ac:dyDescent="0.25">
      <c r="A5" s="15"/>
      <c r="B5" s="15"/>
      <c r="C5" s="15"/>
      <c r="D5" s="15"/>
    </row>
    <row r="6" spans="1:9" x14ac:dyDescent="0.25">
      <c r="A6" s="15"/>
      <c r="B6" s="15"/>
      <c r="C6" s="15"/>
      <c r="D6" s="15"/>
    </row>
    <row r="7" spans="1:9" x14ac:dyDescent="0.25">
      <c r="B7" s="15">
        <v>2021</v>
      </c>
      <c r="C7" s="15"/>
      <c r="D7" s="15">
        <v>2020</v>
      </c>
    </row>
    <row r="8" spans="1:9" x14ac:dyDescent="0.25">
      <c r="A8" s="9" t="s">
        <v>348</v>
      </c>
      <c r="B8" s="31"/>
      <c r="C8" s="31"/>
      <c r="D8" s="31"/>
    </row>
    <row r="9" spans="1:9" hidden="1" x14ac:dyDescent="0.25">
      <c r="A9" s="10" t="s">
        <v>27</v>
      </c>
      <c r="B9" s="32">
        <v>0</v>
      </c>
      <c r="C9" s="32"/>
      <c r="D9" s="32">
        <v>0</v>
      </c>
    </row>
    <row r="10" spans="1:9" x14ac:dyDescent="0.25">
      <c r="A10" s="10" t="s">
        <v>28</v>
      </c>
      <c r="B10" s="32">
        <f>'NOTAS 7 AL 48 '!F174</f>
        <v>20350000</v>
      </c>
      <c r="C10" s="32"/>
      <c r="D10" s="32">
        <f>'NOTAS 7 AL 48 '!H174</f>
        <v>10175000</v>
      </c>
      <c r="E10" s="31"/>
      <c r="F10" s="264"/>
      <c r="G10" s="11"/>
      <c r="H10" s="11"/>
      <c r="I10" s="11"/>
    </row>
    <row r="11" spans="1:9" x14ac:dyDescent="0.25">
      <c r="A11" s="10" t="s">
        <v>29</v>
      </c>
      <c r="B11" s="32">
        <f>+'NOTAS 7 AL 48 '!F187</f>
        <v>196534074.69999999</v>
      </c>
      <c r="C11" s="32"/>
      <c r="D11" s="32">
        <f>'NOTAS 7 AL 48 '!H187</f>
        <v>215722937.98999998</v>
      </c>
      <c r="E11" s="31"/>
      <c r="F11" s="264"/>
      <c r="G11" s="11"/>
      <c r="H11" s="11"/>
      <c r="I11" s="11"/>
    </row>
    <row r="12" spans="1:9" x14ac:dyDescent="0.25">
      <c r="A12" s="10" t="s">
        <v>30</v>
      </c>
      <c r="B12" s="32">
        <f>+'NOTAS 7 AL 48 '!F198</f>
        <v>721425.35</v>
      </c>
      <c r="C12" s="32"/>
      <c r="D12" s="32">
        <f>'NOTAS 7 AL 48 '!H198</f>
        <v>1041000</v>
      </c>
      <c r="E12" s="31"/>
      <c r="F12" s="264"/>
      <c r="G12" s="11"/>
      <c r="H12" s="11"/>
      <c r="I12" s="11"/>
    </row>
    <row r="13" spans="1:9" x14ac:dyDescent="0.25">
      <c r="A13" s="9" t="s">
        <v>31</v>
      </c>
      <c r="B13" s="33">
        <f>SUM(B9:B12)</f>
        <v>217605500.04999998</v>
      </c>
      <c r="C13" s="33"/>
      <c r="D13" s="33">
        <f>SUM(D9:D12)</f>
        <v>226938937.98999998</v>
      </c>
      <c r="E13" s="31"/>
      <c r="G13" s="11"/>
      <c r="H13" s="11"/>
      <c r="I13" s="11"/>
    </row>
    <row r="14" spans="1:9" x14ac:dyDescent="0.25">
      <c r="A14" s="12"/>
      <c r="B14" s="34"/>
      <c r="C14" s="34"/>
      <c r="D14" s="34"/>
      <c r="F14" s="31"/>
      <c r="G14" s="11"/>
      <c r="H14" s="11"/>
      <c r="I14" s="11"/>
    </row>
    <row r="15" spans="1:9" x14ac:dyDescent="0.25">
      <c r="A15" s="8" t="s">
        <v>349</v>
      </c>
      <c r="B15" s="35"/>
      <c r="C15" s="35"/>
      <c r="D15" s="35"/>
      <c r="F15" s="31"/>
    </row>
    <row r="16" spans="1:9" x14ac:dyDescent="0.25">
      <c r="A16" s="10" t="s">
        <v>32</v>
      </c>
      <c r="B16" s="32">
        <f>'NOTAS 7 AL 48 '!F223</f>
        <v>130654023.94999994</v>
      </c>
      <c r="C16" s="32"/>
      <c r="D16" s="32">
        <f>'NOTAS 7 AL 48 '!H223</f>
        <v>148872592.85999998</v>
      </c>
      <c r="F16" s="31"/>
    </row>
    <row r="17" spans="1:7" x14ac:dyDescent="0.25">
      <c r="A17" s="57" t="s">
        <v>33</v>
      </c>
      <c r="B17" s="58">
        <f>'NOTAS 7 AL 48 '!F234</f>
        <v>671370</v>
      </c>
      <c r="C17" s="58"/>
      <c r="D17" s="58">
        <f>'NOTAS 7 AL 48 '!H234</f>
        <v>65000</v>
      </c>
      <c r="E17" s="31"/>
      <c r="F17" s="31"/>
    </row>
    <row r="18" spans="1:7" x14ac:dyDescent="0.25">
      <c r="A18" s="57" t="s">
        <v>34</v>
      </c>
      <c r="B18" s="58">
        <f>'NOTAS 7 AL 48 '!F289</f>
        <v>29028052.03225356</v>
      </c>
      <c r="C18" s="58"/>
      <c r="D18" s="58">
        <f>'NOTAS 7 AL 48 '!H289</f>
        <v>29192364.789999995</v>
      </c>
      <c r="E18" s="31"/>
      <c r="F18" s="31"/>
      <c r="G18" s="31"/>
    </row>
    <row r="19" spans="1:7" x14ac:dyDescent="0.25">
      <c r="A19" s="57" t="s">
        <v>35</v>
      </c>
      <c r="B19" s="59">
        <f>+'NOTAS 7 AL 48 '!J88</f>
        <v>25398896.850000013</v>
      </c>
      <c r="C19" s="59"/>
      <c r="D19" s="58">
        <f>'NOTAS 7 AL 48 '!H297</f>
        <v>24540454.239999998</v>
      </c>
    </row>
    <row r="20" spans="1:7" x14ac:dyDescent="0.25">
      <c r="A20" s="57" t="s">
        <v>36</v>
      </c>
      <c r="B20" s="59">
        <f>'NOTAS 7 AL 48 '!F341</f>
        <v>40272381.806440666</v>
      </c>
      <c r="C20" s="59"/>
      <c r="D20" s="58">
        <f>'NOTAS 7 AL 48 '!H341</f>
        <v>34971073.980000004</v>
      </c>
      <c r="F20" s="31"/>
    </row>
    <row r="21" spans="1:7" x14ac:dyDescent="0.25">
      <c r="A21" s="9" t="s">
        <v>37</v>
      </c>
      <c r="B21" s="33">
        <f>SUM(B16:B20)</f>
        <v>226024724.63869417</v>
      </c>
      <c r="C21" s="56"/>
      <c r="D21" s="33">
        <f>SUM(D16:D20)</f>
        <v>237641485.87</v>
      </c>
      <c r="E21" s="31"/>
    </row>
    <row r="22" spans="1:7" x14ac:dyDescent="0.25">
      <c r="A22" s="9" t="s">
        <v>38</v>
      </c>
      <c r="B22" s="64">
        <f>B13-B21</f>
        <v>-8419224.588694185</v>
      </c>
      <c r="C22" s="64"/>
      <c r="D22" s="64">
        <f t="shared" ref="D22" si="0">D13-D21</f>
        <v>-10702547.880000025</v>
      </c>
      <c r="E22" s="31"/>
    </row>
    <row r="23" spans="1:7" x14ac:dyDescent="0.25">
      <c r="A23" s="12"/>
      <c r="B23" s="34" t="s">
        <v>363</v>
      </c>
      <c r="C23" s="34"/>
      <c r="D23" s="34"/>
    </row>
    <row r="24" spans="1:7" x14ac:dyDescent="0.25">
      <c r="A24" s="12"/>
      <c r="B24" s="35"/>
      <c r="C24" s="35"/>
      <c r="D24" s="35"/>
      <c r="E24" s="45"/>
    </row>
    <row r="25" spans="1:7" x14ac:dyDescent="0.25">
      <c r="A25" s="13" t="s">
        <v>282</v>
      </c>
    </row>
    <row r="26" spans="1:7" x14ac:dyDescent="0.25">
      <c r="A26" s="13"/>
    </row>
    <row r="27" spans="1:7" x14ac:dyDescent="0.25">
      <c r="A27" s="13"/>
    </row>
    <row r="28" spans="1:7" x14ac:dyDescent="0.25">
      <c r="A28" s="13"/>
    </row>
    <row r="29" spans="1:7" x14ac:dyDescent="0.25">
      <c r="A29" s="26" t="s">
        <v>105</v>
      </c>
      <c r="B29" s="25"/>
      <c r="C29" s="25"/>
      <c r="D29" s="25"/>
    </row>
    <row r="30" spans="1:7" x14ac:dyDescent="0.25">
      <c r="A30" s="24" t="s">
        <v>107</v>
      </c>
      <c r="B30" s="297" t="s">
        <v>103</v>
      </c>
      <c r="C30" s="297"/>
      <c r="D30" s="297"/>
    </row>
    <row r="33" spans="1:4" x14ac:dyDescent="0.25">
      <c r="A33" s="24" t="s">
        <v>106</v>
      </c>
      <c r="B33" s="25"/>
      <c r="C33" s="25"/>
      <c r="D33" s="25"/>
    </row>
    <row r="34" spans="1:4" x14ac:dyDescent="0.25">
      <c r="A34" s="24" t="s">
        <v>95</v>
      </c>
      <c r="B34" s="297" t="s">
        <v>96</v>
      </c>
      <c r="C34" s="297"/>
      <c r="D34" s="297"/>
    </row>
  </sheetData>
  <mergeCells count="6">
    <mergeCell ref="A1:D1"/>
    <mergeCell ref="A2:D2"/>
    <mergeCell ref="A3:D3"/>
    <mergeCell ref="A4:D4"/>
    <mergeCell ref="B34:D34"/>
    <mergeCell ref="B30:D30"/>
  </mergeCells>
  <pageMargins left="0.70866141732283472" right="0.70866141732283472" top="1.5354330708661419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Estado de Situación</vt:lpstr>
      <vt:lpstr>Est. de Rendimiento Fin</vt:lpstr>
      <vt:lpstr>Hoja1</vt:lpstr>
      <vt:lpstr>Hoja2</vt:lpstr>
      <vt:lpstr>Hoja4</vt:lpstr>
      <vt:lpstr>Hoja5</vt:lpstr>
      <vt:lpstr>Hoja6</vt:lpstr>
      <vt:lpstr>Hoja7</vt:lpstr>
      <vt:lpstr>Hoja8</vt:lpstr>
      <vt:lpstr>Hoja9</vt:lpstr>
      <vt:lpstr>Cambio del Patrimonio</vt:lpstr>
      <vt:lpstr>Flujo de Efectivo</vt:lpstr>
      <vt:lpstr>Esatado de los Impo. Pres. Ope.</vt:lpstr>
      <vt:lpstr>Estado de los Imp. Pres. Presu.</vt:lpstr>
      <vt:lpstr>NOTAS 7 AL 48 </vt:lpstr>
      <vt:lpstr>'NOTAS 7 AL 48 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Usuario</cp:lastModifiedBy>
  <cp:lastPrinted>2022-01-20T19:21:36Z</cp:lastPrinted>
  <dcterms:created xsi:type="dcterms:W3CDTF">2018-07-13T15:52:30Z</dcterms:created>
  <dcterms:modified xsi:type="dcterms:W3CDTF">2022-01-26T13:09:14Z</dcterms:modified>
</cp:coreProperties>
</file>